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ryan C\2016 Election Folder\"/>
    </mc:Choice>
  </mc:AlternateContent>
  <bookViews>
    <workbookView xWindow="0" yWindow="0" windowWidth="14430" windowHeight="9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C105" i="1" l="1"/>
  <c r="C101" i="1"/>
  <c r="C98" i="1"/>
  <c r="C90" i="1" l="1"/>
  <c r="C75" i="1" l="1"/>
  <c r="C74" i="1"/>
  <c r="C72" i="1"/>
  <c r="C70" i="1" l="1"/>
  <c r="C69" i="1" l="1"/>
  <c r="C67" i="1"/>
  <c r="C62" i="1" l="1"/>
  <c r="C45" i="1"/>
  <c r="C27" i="1"/>
  <c r="C41" i="1" l="1"/>
  <c r="C40" i="1"/>
  <c r="C35" i="1"/>
  <c r="C31" i="1"/>
  <c r="C25" i="1"/>
  <c r="C23" i="1"/>
  <c r="C21" i="1" l="1"/>
  <c r="C30" i="1" l="1"/>
  <c r="C26" i="1"/>
  <c r="C20" i="1" l="1"/>
  <c r="C19" i="1" l="1"/>
  <c r="C13" i="1"/>
  <c r="C102" i="1" l="1"/>
  <c r="C100" i="1"/>
  <c r="C99" i="1"/>
  <c r="C97" i="1"/>
  <c r="C94" i="1"/>
  <c r="C88" i="1"/>
  <c r="C87" i="1"/>
  <c r="C86" i="1"/>
  <c r="C85" i="1"/>
  <c r="C60" i="1"/>
  <c r="C59" i="1"/>
  <c r="C58" i="1"/>
  <c r="C18" i="1"/>
  <c r="C10" i="1"/>
  <c r="C111" i="1"/>
  <c r="C93" i="1"/>
  <c r="C68" i="1" l="1"/>
  <c r="C66" i="1" l="1"/>
  <c r="C57" i="1"/>
  <c r="C39" i="1"/>
  <c r="C17" i="1"/>
  <c r="C9" i="1"/>
  <c r="C110" i="1"/>
  <c r="C92" i="1"/>
  <c r="C84" i="1"/>
  <c r="C80" i="1"/>
  <c r="C65" i="1"/>
  <c r="C56" i="1"/>
  <c r="C37" i="1"/>
  <c r="C14" i="1"/>
  <c r="C8" i="1" l="1"/>
  <c r="C5" i="1"/>
  <c r="C109" i="1"/>
  <c r="C91" i="1"/>
  <c r="C83" i="1"/>
  <c r="C82" i="1" l="1"/>
  <c r="C78" i="1"/>
  <c r="C73" i="1"/>
  <c r="C64" i="1"/>
  <c r="C55" i="1"/>
  <c r="C53" i="1"/>
  <c r="C47" i="1"/>
  <c r="C44" i="1"/>
  <c r="C33" i="1"/>
  <c r="C29" i="1"/>
  <c r="C12" i="1"/>
  <c r="C7" i="1"/>
  <c r="C4" i="1"/>
  <c r="C107" i="1"/>
  <c r="C104" i="1"/>
  <c r="C81" i="1"/>
  <c r="C77" i="1"/>
  <c r="C76" i="1"/>
  <c r="C61" i="1"/>
  <c r="C54" i="1"/>
  <c r="C51" i="1"/>
  <c r="C46" i="1"/>
  <c r="C42" i="1"/>
  <c r="C34" i="1"/>
  <c r="C32" i="1"/>
  <c r="C28" i="1"/>
  <c r="C22" i="1"/>
  <c r="C11" i="1"/>
  <c r="C6" i="1"/>
  <c r="C3" i="1"/>
  <c r="D99" i="1" l="1"/>
  <c r="D101" i="1"/>
  <c r="D71" i="1"/>
  <c r="G101" i="1" l="1"/>
  <c r="D21" i="1"/>
  <c r="G21" i="1"/>
  <c r="G41" i="1"/>
  <c r="G30" i="1"/>
  <c r="D28" i="1"/>
  <c r="G28" i="1"/>
  <c r="D41" i="1"/>
  <c r="D98" i="1"/>
  <c r="G98" i="1"/>
  <c r="G100" i="1" l="1"/>
  <c r="G6" i="1"/>
  <c r="G88" i="1"/>
  <c r="D91" i="1"/>
  <c r="G91" i="1"/>
  <c r="G86" i="1"/>
  <c r="D56" i="1"/>
  <c r="D25" i="1"/>
  <c r="G25" i="1"/>
  <c r="G79" i="1"/>
  <c r="D80" i="1"/>
  <c r="G80" i="1"/>
  <c r="G66" i="1"/>
  <c r="D62" i="1"/>
  <c r="G62" i="1"/>
  <c r="D83" i="1"/>
  <c r="G83" i="1"/>
  <c r="G60" i="1"/>
  <c r="D14" i="1"/>
  <c r="G14" i="1"/>
  <c r="D34" i="1"/>
  <c r="G34" i="1"/>
  <c r="G73" i="1"/>
  <c r="G53" i="1"/>
  <c r="D53" i="1"/>
  <c r="D30" i="1"/>
  <c r="G92" i="1"/>
  <c r="D92" i="1"/>
  <c r="G84" i="1"/>
  <c r="G93" i="1"/>
  <c r="D93" i="1"/>
  <c r="G111" i="1"/>
  <c r="D111" i="1"/>
  <c r="G110" i="1"/>
  <c r="D110" i="1"/>
  <c r="G109" i="1"/>
  <c r="D109" i="1"/>
  <c r="G108" i="1"/>
  <c r="D108" i="1"/>
  <c r="G107" i="1"/>
  <c r="D107" i="1"/>
  <c r="D106" i="1"/>
  <c r="G106" i="1"/>
  <c r="G105" i="1"/>
  <c r="D105" i="1"/>
  <c r="G102" i="1"/>
  <c r="D102" i="1"/>
  <c r="G97" i="1"/>
  <c r="D97" i="1"/>
  <c r="D89" i="1"/>
  <c r="G89" i="1"/>
  <c r="D88" i="1"/>
  <c r="D86" i="1"/>
  <c r="D84" i="1"/>
  <c r="G82" i="1"/>
  <c r="D82" i="1"/>
  <c r="G81" i="1"/>
  <c r="D81" i="1"/>
  <c r="D79" i="1"/>
  <c r="D78" i="1"/>
  <c r="G77" i="1"/>
  <c r="D77" i="1"/>
  <c r="G76" i="1"/>
  <c r="D76" i="1"/>
  <c r="G75" i="1"/>
  <c r="D75" i="1"/>
  <c r="D74" i="1"/>
  <c r="G74" i="1"/>
  <c r="D73" i="1"/>
  <c r="G72" i="1"/>
  <c r="D72" i="1"/>
  <c r="G71" i="1"/>
  <c r="G68" i="1"/>
  <c r="D68" i="1"/>
  <c r="D67" i="1"/>
  <c r="G67" i="1"/>
  <c r="D66" i="1"/>
  <c r="G65" i="1"/>
  <c r="D65" i="1"/>
  <c r="D60" i="1"/>
  <c r="D59" i="1"/>
  <c r="G58" i="1"/>
  <c r="D58" i="1"/>
  <c r="D57" i="1"/>
  <c r="G57" i="1"/>
  <c r="G55" i="1"/>
  <c r="D55" i="1"/>
  <c r="G54" i="1"/>
  <c r="D54" i="1"/>
  <c r="G52" i="1"/>
  <c r="D52" i="1"/>
  <c r="G51" i="1"/>
  <c r="D51" i="1"/>
  <c r="G47" i="1"/>
  <c r="D47" i="1"/>
  <c r="G46" i="1"/>
  <c r="D46" i="1"/>
  <c r="G45" i="1"/>
  <c r="D45" i="1"/>
  <c r="G44" i="1"/>
  <c r="D44" i="1"/>
  <c r="G43" i="1"/>
  <c r="D43" i="1"/>
  <c r="G42" i="1"/>
  <c r="D42" i="1"/>
  <c r="G40" i="1"/>
  <c r="D40" i="1"/>
  <c r="G78" i="1"/>
  <c r="G38" i="1"/>
  <c r="D38" i="1"/>
  <c r="G37" i="1"/>
  <c r="D37" i="1"/>
  <c r="G35" i="1"/>
  <c r="D35" i="1"/>
  <c r="G33" i="1"/>
  <c r="D33" i="1"/>
  <c r="G99" i="1"/>
  <c r="G29" i="1"/>
  <c r="D29" i="1"/>
  <c r="G26" i="1"/>
  <c r="D26" i="1"/>
  <c r="G94" i="1"/>
  <c r="D94" i="1"/>
  <c r="G23" i="1"/>
  <c r="D23" i="1"/>
  <c r="G22" i="1"/>
  <c r="D22" i="1"/>
  <c r="G20" i="1"/>
  <c r="D20" i="1"/>
  <c r="G18" i="1"/>
  <c r="D18" i="1"/>
  <c r="G59" i="1"/>
  <c r="G17" i="1"/>
  <c r="D17" i="1"/>
  <c r="G16" i="1"/>
  <c r="D16" i="1"/>
  <c r="G15" i="1"/>
  <c r="D15" i="1"/>
  <c r="G13" i="1"/>
  <c r="D13" i="1"/>
  <c r="G12" i="1"/>
  <c r="D12" i="1"/>
  <c r="G11" i="1"/>
  <c r="D11" i="1"/>
  <c r="G10" i="1"/>
  <c r="D7" i="1"/>
  <c r="D10" i="1"/>
  <c r="G7" i="1"/>
  <c r="G56" i="1" l="1"/>
  <c r="D6" i="1"/>
  <c r="G5" i="1"/>
  <c r="D5" i="1"/>
  <c r="G87" i="1"/>
  <c r="D87" i="1"/>
  <c r="G4" i="1"/>
  <c r="D4" i="1"/>
  <c r="G31" i="1"/>
  <c r="D31" i="1"/>
  <c r="G19" i="1"/>
  <c r="D19" i="1"/>
  <c r="G50" i="1"/>
  <c r="D50" i="1"/>
  <c r="G61" i="1"/>
  <c r="D61" i="1"/>
  <c r="G63" i="1"/>
  <c r="D63" i="1"/>
  <c r="G36" i="1"/>
  <c r="D36" i="1"/>
  <c r="G27" i="1"/>
  <c r="D27" i="1"/>
  <c r="G39" i="1"/>
  <c r="D39" i="1"/>
  <c r="G8" i="1"/>
  <c r="D8" i="1"/>
  <c r="G3" i="1"/>
  <c r="D3" i="1"/>
  <c r="G70" i="1"/>
  <c r="D70" i="1"/>
  <c r="G9" i="1"/>
  <c r="D9" i="1"/>
  <c r="D24" i="1"/>
  <c r="D32" i="1"/>
  <c r="D64" i="1"/>
  <c r="D69" i="1"/>
  <c r="D85" i="1"/>
  <c r="D90" i="1"/>
  <c r="D100" i="1"/>
  <c r="D103" i="1"/>
  <c r="D104" i="1"/>
  <c r="G24" i="1"/>
  <c r="G69" i="1"/>
  <c r="G32" i="1"/>
  <c r="G90" i="1"/>
  <c r="G85" i="1"/>
  <c r="G64" i="1"/>
  <c r="G103" i="1"/>
  <c r="F113" i="1"/>
  <c r="E113" i="1"/>
  <c r="C113" i="1"/>
  <c r="G104" i="1"/>
  <c r="D113" i="1" l="1"/>
  <c r="B113" i="1"/>
  <c r="G113" i="1" s="1"/>
</calcChain>
</file>

<file path=xl/sharedStrings.xml><?xml version="1.0" encoding="utf-8"?>
<sst xmlns="http://schemas.openxmlformats.org/spreadsheetml/2006/main" count="145" uniqueCount="117">
  <si>
    <t>Allen</t>
  </si>
  <si>
    <t>Total</t>
  </si>
  <si>
    <t>Anderson</t>
  </si>
  <si>
    <t>Atchison</t>
  </si>
  <si>
    <t>Barber</t>
  </si>
  <si>
    <t>Barton</t>
  </si>
  <si>
    <t>Bourbon</t>
  </si>
  <si>
    <t>Brown</t>
  </si>
  <si>
    <t>Chase</t>
  </si>
  <si>
    <t>Chautaqua</t>
  </si>
  <si>
    <t>Cherokee</t>
  </si>
  <si>
    <t>Clark</t>
  </si>
  <si>
    <t>Clay</t>
  </si>
  <si>
    <t>Cloud</t>
  </si>
  <si>
    <t>Coffey</t>
  </si>
  <si>
    <t>Comanche</t>
  </si>
  <si>
    <t>Cowley</t>
  </si>
  <si>
    <t>Decatur</t>
  </si>
  <si>
    <t>Dickinson</t>
  </si>
  <si>
    <t>Doniphan</t>
  </si>
  <si>
    <t>Douglas</t>
  </si>
  <si>
    <t>Edwards</t>
  </si>
  <si>
    <t>Elk</t>
  </si>
  <si>
    <t>Ellsworth</t>
  </si>
  <si>
    <t>Finney</t>
  </si>
  <si>
    <t>Ford</t>
  </si>
  <si>
    <t>Franklin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</si>
  <si>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</si>
  <si>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</si>
  <si>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</si>
  <si>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</si>
  <si>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</si>
  <si>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</si>
  <si>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</si>
  <si>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</si>
  <si>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</si>
  <si>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</si>
  <si>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</si>
  <si>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Jefferson</t>
  </si>
  <si>
    <t>Jewell</t>
  </si>
  <si>
    <t>Johnson</t>
  </si>
  <si>
    <t>Kearny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</si>
  <si>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</si>
  <si>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</si>
  <si>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</si>
  <si>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</si>
  <si>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</si>
  <si>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</si>
  <si>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</si>
  <si>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</si>
  <si>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McPherson</t>
  </si>
  <si>
    <t>Marion</t>
  </si>
  <si>
    <t>Marshall</t>
  </si>
  <si>
    <t>Meade</t>
  </si>
  <si>
    <t>Miami</t>
  </si>
  <si>
    <t>Mitchell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</si>
  <si>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</si>
  <si>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</si>
  <si>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</si>
  <si>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</si>
  <si>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</si>
  <si>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</si>
  <si>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</si>
  <si>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</si>
  <si>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</si>
  <si>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</si>
  <si>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</si>
  <si>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</si>
  <si>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</si>
  <si>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</si>
  <si>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</si>
  <si>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</si>
  <si>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</si>
  <si>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</si>
  <si>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</si>
  <si>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</si>
  <si>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</si>
  <si>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</si>
  <si>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</si>
  <si>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</si>
  <si>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</si>
  <si>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</si>
  <si>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</si>
  <si>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</si>
  <si>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</si>
  <si>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</si>
  <si>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</si>
  <si>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</si>
  <si>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</si>
  <si>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</si>
  <si>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</si>
  <si>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</si>
  <si>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</si>
  <si>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</si>
  <si>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</si>
  <si>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Wyandotte</t>
  </si>
  <si>
    <t>COUNTY</t>
  </si>
  <si>
    <t>REGISTERED</t>
  </si>
  <si>
    <t>VOTERS</t>
  </si>
  <si>
    <t>ADVANCE</t>
  </si>
  <si>
    <t>PERCENT</t>
  </si>
  <si>
    <t>OF TOTAL VOTES</t>
  </si>
  <si>
    <t>PROVISIONAL</t>
  </si>
  <si>
    <t>VOTES</t>
  </si>
  <si>
    <t>TOTAL VOTES</t>
  </si>
  <si>
    <t>CAST</t>
  </si>
  <si>
    <t>TURNOUT</t>
  </si>
  <si>
    <t>Woodson</t>
  </si>
  <si>
    <t>Stevens</t>
  </si>
  <si>
    <t>Montgomery</t>
  </si>
  <si>
    <t>Kingman</t>
  </si>
  <si>
    <t>Jackson</t>
  </si>
  <si>
    <t>Geary</t>
  </si>
  <si>
    <t>Ellis</t>
  </si>
  <si>
    <t>Crawford</t>
  </si>
  <si>
    <t>Cheyenne</t>
  </si>
  <si>
    <t>Butler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</si>
</sst>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3" fontId="3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0" xfId="0" applyBorder="1"/>
    <xf numFmtId="3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3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0" fillId="0" borderId="0" xfId="1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/>
    <xf numFmtId="3" fontId="5" fillId="0" borderId="0" xfId="1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>
      <selection sqref="A1:XFD1048576"/>
    </sheetView>
  </sheetViews>
  <sheetFormatPr defaultRowHeight="15" x14ac:dyDescent="0.25"/>
  <cols>
    <col min="1" max="1" width="13.7109375" style="3" bestFit="1" customWidth="1"/>
    <col min="2" max="2" width="13.140625" style="5" bestFit="1" customWidth="1"/>
    <col min="3" max="3" width="11.140625" style="5" bestFit="1" customWidth="1"/>
    <col min="4" max="4" width="17.28515625" style="5" bestFit="1" customWidth="1"/>
    <col min="5" max="5" width="14.7109375" style="5" bestFit="1" customWidth="1"/>
    <col min="6" max="6" width="14.28515625" style="5" bestFit="1" customWidth="1"/>
    <col min="7" max="7" width="11.28515625" style="5" bestFit="1" customWidth="1"/>
    <col min="8" max="16384" width="9.140625" style="3"/>
  </cols>
  <sheetData>
    <row r="1" spans="1:7" s="2" customFormat="1" x14ac:dyDescent="0.25">
      <c r="A1" s="2" t="s">
        <v>96</v>
      </c>
      <c r="B1" s="2" t="s">
        <v>97</v>
      </c>
      <c r="C1" s="2" t="s">
        <v>99</v>
      </c>
      <c r="D1" s="2" t="s">
        <v>100</v>
      </c>
      <c r="E1" s="2" t="s">
        <v>102</v>
      </c>
      <c r="F1" s="2" t="s">
        <v>104</v>
      </c>
      <c r="G1" s="2" t="s">
        <v>100</v>
      </c>
    </row>
    <row r="2" spans="1:7" s="2" customFormat="1" x14ac:dyDescent="0.25">
      <c r="A2" s="1"/>
      <c r="B2" s="2" t="s">
        <v>98</v>
      </c>
      <c r="C2" s="2" t="s">
        <v>98</v>
      </c>
      <c r="D2" s="2" t="s">
        <v>101</v>
      </c>
      <c r="E2" s="2" t="s">
        <v>103</v>
      </c>
      <c r="F2" s="2" t="s">
        <v>105</v>
      </c>
      <c r="G2" s="2" t="s">
        <v>106</v>
      </c>
    </row>
    <row r="3" spans="1:7" s="7" customFormat="1" x14ac:dyDescent="0.25">
      <c r="A3" s="7" t="s">
        <v>0</v>
      </c>
      <c r="B3" s="15">
        <v>8655</v>
      </c>
      <c r="C3" s="10">
        <f>125+361+818+9+1</f>
        <v>1314</v>
      </c>
      <c r="D3" s="9">
        <f t="shared" ref="D3:D21" si="0">C3/F3</f>
        <v>0.2310939148786493</v>
      </c>
      <c r="E3" s="8">
        <v>205</v>
      </c>
      <c r="F3" s="13">
        <v>5686</v>
      </c>
      <c r="G3" s="9">
        <f t="shared" ref="G3:G21" si="1">F3/B3</f>
        <v>0.65696129404968229</v>
      </c>
    </row>
    <row r="4" spans="1:7" s="7" customFormat="1" x14ac:dyDescent="0.25">
      <c r="A4" s="7" t="s">
        <v>2</v>
      </c>
      <c r="B4" s="15">
        <v>5410</v>
      </c>
      <c r="C4" s="8">
        <f>66+194+477+1</f>
        <v>738</v>
      </c>
      <c r="D4" s="9">
        <f t="shared" si="0"/>
        <v>0.2136653155761436</v>
      </c>
      <c r="E4" s="8">
        <v>101</v>
      </c>
      <c r="F4" s="13">
        <v>3454</v>
      </c>
      <c r="G4" s="9">
        <f t="shared" si="1"/>
        <v>0.63844731977818858</v>
      </c>
    </row>
    <row r="5" spans="1:7" s="7" customFormat="1" x14ac:dyDescent="0.25">
      <c r="A5" s="7" t="s">
        <v>3</v>
      </c>
      <c r="B5" s="15">
        <v>11332</v>
      </c>
      <c r="C5" s="10">
        <f>112+309+1346+36+2</f>
        <v>1805</v>
      </c>
      <c r="D5" s="9">
        <f t="shared" si="0"/>
        <v>0.26308118350094739</v>
      </c>
      <c r="E5" s="17">
        <v>208</v>
      </c>
      <c r="F5" s="13">
        <v>6861</v>
      </c>
      <c r="G5" s="9">
        <f t="shared" si="1"/>
        <v>0.60545358277444405</v>
      </c>
    </row>
    <row r="6" spans="1:7" s="7" customFormat="1" x14ac:dyDescent="0.25">
      <c r="A6" s="7" t="s">
        <v>4</v>
      </c>
      <c r="B6" s="15">
        <v>2970</v>
      </c>
      <c r="C6" s="8">
        <f>33+144+377+2+1</f>
        <v>557</v>
      </c>
      <c r="D6" s="9">
        <f t="shared" si="0"/>
        <v>0.24206866579747935</v>
      </c>
      <c r="E6" s="8">
        <v>51</v>
      </c>
      <c r="F6" s="10">
        <v>2301</v>
      </c>
      <c r="G6" s="9">
        <f t="shared" si="1"/>
        <v>0.77474747474747474</v>
      </c>
    </row>
    <row r="7" spans="1:7" s="7" customFormat="1" x14ac:dyDescent="0.25">
      <c r="A7" s="7" t="s">
        <v>5</v>
      </c>
      <c r="B7" s="15">
        <v>17427</v>
      </c>
      <c r="C7" s="10">
        <f>211+386+2243+12+1</f>
        <v>2853</v>
      </c>
      <c r="D7" s="9">
        <f t="shared" si="0"/>
        <v>0.27288378766140603</v>
      </c>
      <c r="E7" s="8">
        <v>175</v>
      </c>
      <c r="F7" s="13">
        <v>10455</v>
      </c>
      <c r="G7" s="9">
        <f t="shared" si="1"/>
        <v>0.59993114133241521</v>
      </c>
    </row>
    <row r="8" spans="1:7" s="7" customFormat="1" x14ac:dyDescent="0.25">
      <c r="A8" s="7" t="s">
        <v>6</v>
      </c>
      <c r="B8" s="15">
        <v>11643</v>
      </c>
      <c r="C8" s="10">
        <f>190+236+1483+13+2</f>
        <v>1924</v>
      </c>
      <c r="D8" s="9">
        <f t="shared" si="0"/>
        <v>0.30481622306717365</v>
      </c>
      <c r="E8" s="8">
        <v>231</v>
      </c>
      <c r="F8" s="10">
        <v>6312</v>
      </c>
      <c r="G8" s="9">
        <f t="shared" si="1"/>
        <v>0.54212831744395773</v>
      </c>
    </row>
    <row r="9" spans="1:7" s="7" customFormat="1" x14ac:dyDescent="0.25">
      <c r="A9" s="7" t="s">
        <v>7</v>
      </c>
      <c r="B9" s="15">
        <v>6159</v>
      </c>
      <c r="C9" s="8">
        <f>7+288+530+9</f>
        <v>834</v>
      </c>
      <c r="D9" s="9">
        <f t="shared" si="0"/>
        <v>0.20004797313504438</v>
      </c>
      <c r="E9" s="8">
        <v>106</v>
      </c>
      <c r="F9" s="10">
        <v>4169</v>
      </c>
      <c r="G9" s="9">
        <f t="shared" si="1"/>
        <v>0.67689559993505444</v>
      </c>
    </row>
    <row r="10" spans="1:7" s="7" customFormat="1" x14ac:dyDescent="0.25">
      <c r="A10" s="7" t="s">
        <v>116</v>
      </c>
      <c r="B10" s="15">
        <v>42282</v>
      </c>
      <c r="C10" s="10">
        <f>567+2840+5533+76+4</f>
        <v>9020</v>
      </c>
      <c r="D10" s="9">
        <f t="shared" si="0"/>
        <v>0.31808724477201394</v>
      </c>
      <c r="E10" s="8">
        <v>698</v>
      </c>
      <c r="F10" s="13">
        <v>28357</v>
      </c>
      <c r="G10" s="9">
        <f t="shared" si="1"/>
        <v>0.67066363937372875</v>
      </c>
    </row>
    <row r="11" spans="1:7" s="7" customFormat="1" x14ac:dyDescent="0.25">
      <c r="A11" s="7" t="s">
        <v>8</v>
      </c>
      <c r="B11" s="15">
        <v>1827</v>
      </c>
      <c r="C11" s="8">
        <f>62+105+345+8</f>
        <v>520</v>
      </c>
      <c r="D11" s="9">
        <f t="shared" si="0"/>
        <v>0.36775106082036774</v>
      </c>
      <c r="E11" s="8">
        <v>21</v>
      </c>
      <c r="F11" s="13">
        <v>1414</v>
      </c>
      <c r="G11" s="9">
        <f t="shared" si="1"/>
        <v>0.77394636015325668</v>
      </c>
    </row>
    <row r="12" spans="1:7" s="7" customFormat="1" x14ac:dyDescent="0.25">
      <c r="A12" s="7" t="s">
        <v>9</v>
      </c>
      <c r="B12" s="15">
        <v>2332</v>
      </c>
      <c r="C12" s="8">
        <f>47+136+106+1</f>
        <v>290</v>
      </c>
      <c r="D12" s="9">
        <f t="shared" si="0"/>
        <v>0.19003931847968544</v>
      </c>
      <c r="E12" s="8">
        <v>28</v>
      </c>
      <c r="F12" s="13">
        <v>1526</v>
      </c>
      <c r="G12" s="9">
        <f t="shared" si="1"/>
        <v>0.65437392795883365</v>
      </c>
    </row>
    <row r="13" spans="1:7" s="7" customFormat="1" x14ac:dyDescent="0.25">
      <c r="A13" s="7" t="s">
        <v>10</v>
      </c>
      <c r="B13" s="15">
        <v>16953</v>
      </c>
      <c r="C13" s="10">
        <f>518+372+796+14+2</f>
        <v>1702</v>
      </c>
      <c r="D13" s="9">
        <f t="shared" si="0"/>
        <v>0.19203429989845425</v>
      </c>
      <c r="E13" s="8">
        <v>295</v>
      </c>
      <c r="F13" s="13">
        <v>8863</v>
      </c>
      <c r="G13" s="9">
        <f t="shared" si="1"/>
        <v>0.52279832478027488</v>
      </c>
    </row>
    <row r="14" spans="1:7" s="7" customFormat="1" x14ac:dyDescent="0.25">
      <c r="A14" s="7" t="s">
        <v>115</v>
      </c>
      <c r="B14" s="15">
        <v>1914</v>
      </c>
      <c r="C14" s="8">
        <f>31+75+389+1</f>
        <v>496</v>
      </c>
      <c r="D14" s="9">
        <f t="shared" si="0"/>
        <v>0.34492350486787204</v>
      </c>
      <c r="E14" s="8">
        <v>8</v>
      </c>
      <c r="F14" s="10">
        <v>1438</v>
      </c>
      <c r="G14" s="9">
        <f t="shared" si="1"/>
        <v>0.75130616509926851</v>
      </c>
    </row>
    <row r="15" spans="1:7" s="7" customFormat="1" x14ac:dyDescent="0.25">
      <c r="A15" s="7" t="s">
        <v>11</v>
      </c>
      <c r="B15" s="15">
        <v>1476</v>
      </c>
      <c r="C15" s="8">
        <v>285</v>
      </c>
      <c r="D15" s="9">
        <f t="shared" si="0"/>
        <v>0.27430221366698748</v>
      </c>
      <c r="E15" s="8">
        <v>28</v>
      </c>
      <c r="F15" s="10">
        <v>1039</v>
      </c>
      <c r="G15" s="9">
        <f t="shared" si="1"/>
        <v>0.70392953929539293</v>
      </c>
    </row>
    <row r="16" spans="1:7" s="7" customFormat="1" x14ac:dyDescent="0.25">
      <c r="A16" s="7" t="s">
        <v>12</v>
      </c>
      <c r="B16" s="15">
        <v>5761</v>
      </c>
      <c r="C16" s="10">
        <v>1448</v>
      </c>
      <c r="D16" s="9">
        <f t="shared" si="0"/>
        <v>0.36372770660638032</v>
      </c>
      <c r="E16" s="8">
        <v>105</v>
      </c>
      <c r="F16" s="13">
        <v>3981</v>
      </c>
      <c r="G16" s="9">
        <f t="shared" si="1"/>
        <v>0.69102586356535323</v>
      </c>
    </row>
    <row r="17" spans="1:7" s="7" customFormat="1" x14ac:dyDescent="0.25">
      <c r="A17" s="7" t="s">
        <v>13</v>
      </c>
      <c r="B17" s="15">
        <v>6003</v>
      </c>
      <c r="C17" s="10">
        <f>80+213+712+7+1</f>
        <v>1013</v>
      </c>
      <c r="D17" s="9">
        <f t="shared" si="0"/>
        <v>0.25375751503006011</v>
      </c>
      <c r="E17" s="8">
        <v>115</v>
      </c>
      <c r="F17" s="13">
        <v>3992</v>
      </c>
      <c r="G17" s="9">
        <f t="shared" si="1"/>
        <v>0.66500083291687495</v>
      </c>
    </row>
    <row r="18" spans="1:7" s="7" customFormat="1" x14ac:dyDescent="0.25">
      <c r="A18" s="7" t="s">
        <v>14</v>
      </c>
      <c r="B18" s="15">
        <v>6164</v>
      </c>
      <c r="C18" s="10">
        <f>87+233+831+7+1</f>
        <v>1159</v>
      </c>
      <c r="D18" s="9">
        <f t="shared" si="0"/>
        <v>0.27687529861442906</v>
      </c>
      <c r="E18" s="8">
        <v>108</v>
      </c>
      <c r="F18" s="13">
        <v>4186</v>
      </c>
      <c r="G18" s="9">
        <f t="shared" si="1"/>
        <v>0.67910447761194026</v>
      </c>
    </row>
    <row r="19" spans="1:7" s="7" customFormat="1" x14ac:dyDescent="0.25">
      <c r="A19" s="7" t="s">
        <v>15</v>
      </c>
      <c r="B19" s="15">
        <v>1136</v>
      </c>
      <c r="C19" s="8">
        <f>15+32+69+2</f>
        <v>118</v>
      </c>
      <c r="D19" s="9">
        <f t="shared" si="0"/>
        <v>0.12701829924650163</v>
      </c>
      <c r="E19" s="8">
        <v>27</v>
      </c>
      <c r="F19" s="14">
        <v>929</v>
      </c>
      <c r="G19" s="9">
        <f t="shared" si="1"/>
        <v>0.81778169014084512</v>
      </c>
    </row>
    <row r="20" spans="1:7" s="7" customFormat="1" x14ac:dyDescent="0.25">
      <c r="A20" s="7" t="s">
        <v>16</v>
      </c>
      <c r="B20" s="15">
        <v>19982</v>
      </c>
      <c r="C20" s="10">
        <f>345+1066+3082+25+2</f>
        <v>4520</v>
      </c>
      <c r="D20" s="9">
        <f t="shared" si="0"/>
        <v>0.34620098039215685</v>
      </c>
      <c r="E20" s="8">
        <v>482</v>
      </c>
      <c r="F20" s="13">
        <v>13056</v>
      </c>
      <c r="G20" s="9">
        <f t="shared" si="1"/>
        <v>0.65338804924431992</v>
      </c>
    </row>
    <row r="21" spans="1:7" s="7" customFormat="1" x14ac:dyDescent="0.25">
      <c r="A21" s="7" t="s">
        <v>114</v>
      </c>
      <c r="B21" s="15">
        <v>24901</v>
      </c>
      <c r="C21" s="10">
        <f>752+841+2018+24+1</f>
        <v>3636</v>
      </c>
      <c r="D21" s="9">
        <f t="shared" si="0"/>
        <v>0.23558377607878708</v>
      </c>
      <c r="E21" s="8">
        <v>573</v>
      </c>
      <c r="F21" s="10">
        <v>15434</v>
      </c>
      <c r="G21" s="9">
        <f t="shared" si="1"/>
        <v>0.61981446528251882</v>
      </c>
    </row>
    <row r="22" spans="1:7" s="7" customFormat="1" x14ac:dyDescent="0.25">
      <c r="A22" s="7" t="s">
        <v>17</v>
      </c>
      <c r="B22" s="15">
        <v>2112</v>
      </c>
      <c r="C22" s="8">
        <f>40+102+186+3</f>
        <v>331</v>
      </c>
      <c r="D22" s="9">
        <f t="shared" ref="D22:D28" si="2">C22/F22</f>
        <v>0.22081387591727819</v>
      </c>
      <c r="E22" s="8">
        <v>26</v>
      </c>
      <c r="F22" s="13">
        <v>1499</v>
      </c>
      <c r="G22" s="9">
        <f t="shared" ref="G22:G28" si="3">F22/B22</f>
        <v>0.70975378787878785</v>
      </c>
    </row>
    <row r="23" spans="1:7" x14ac:dyDescent="0.25">
      <c r="A23" s="3" t="s">
        <v>18</v>
      </c>
      <c r="B23" s="4">
        <v>12955</v>
      </c>
      <c r="C23" s="10">
        <f>120+474+1546+29</f>
        <v>2169</v>
      </c>
      <c r="D23" s="6">
        <f t="shared" si="2"/>
        <v>0.2573564309444708</v>
      </c>
      <c r="E23" s="8">
        <v>238</v>
      </c>
      <c r="F23" s="13">
        <v>8428</v>
      </c>
      <c r="G23" s="6">
        <f t="shared" si="3"/>
        <v>0.65055962948668467</v>
      </c>
    </row>
    <row r="24" spans="1:7" s="7" customFormat="1" x14ac:dyDescent="0.25">
      <c r="A24" s="7" t="s">
        <v>19</v>
      </c>
      <c r="B24" s="15">
        <v>4932</v>
      </c>
      <c r="C24" s="8">
        <v>524</v>
      </c>
      <c r="D24" s="9">
        <f t="shared" si="2"/>
        <v>0.15022935779816513</v>
      </c>
      <c r="E24" s="8">
        <v>61</v>
      </c>
      <c r="F24" s="13">
        <v>3488</v>
      </c>
      <c r="G24" s="9">
        <f t="shared" si="3"/>
        <v>0.70721816707218166</v>
      </c>
    </row>
    <row r="25" spans="1:7" s="7" customFormat="1" x14ac:dyDescent="0.25">
      <c r="A25" s="7" t="s">
        <v>20</v>
      </c>
      <c r="B25" s="15">
        <v>81380</v>
      </c>
      <c r="C25" s="10">
        <f>550+6376+15637+388+18</f>
        <v>22969</v>
      </c>
      <c r="D25" s="9">
        <f t="shared" si="2"/>
        <v>0.44032282800398742</v>
      </c>
      <c r="E25" s="10">
        <v>2006</v>
      </c>
      <c r="F25" s="13">
        <v>52164</v>
      </c>
      <c r="G25" s="9">
        <f t="shared" si="3"/>
        <v>0.64099287294175478</v>
      </c>
    </row>
    <row r="26" spans="1:7" s="7" customFormat="1" x14ac:dyDescent="0.25">
      <c r="A26" s="7" t="s">
        <v>21</v>
      </c>
      <c r="B26" s="15">
        <v>1905</v>
      </c>
      <c r="C26" s="8">
        <f>10+58+6+3</f>
        <v>77</v>
      </c>
      <c r="D26" s="9">
        <f t="shared" si="2"/>
        <v>5.7079318013343219E-2</v>
      </c>
      <c r="E26" s="8">
        <v>13</v>
      </c>
      <c r="F26" s="13">
        <v>1349</v>
      </c>
      <c r="G26" s="9">
        <f t="shared" si="3"/>
        <v>0.70813648293963249</v>
      </c>
    </row>
    <row r="27" spans="1:7" s="7" customFormat="1" x14ac:dyDescent="0.25">
      <c r="A27" s="7" t="s">
        <v>22</v>
      </c>
      <c r="B27" s="15">
        <v>1850</v>
      </c>
      <c r="C27" s="8">
        <f>15+253+127</f>
        <v>395</v>
      </c>
      <c r="D27" s="9">
        <f t="shared" si="2"/>
        <v>0.29766390354182365</v>
      </c>
      <c r="E27" s="8">
        <v>21</v>
      </c>
      <c r="F27" s="10">
        <v>1327</v>
      </c>
      <c r="G27" s="9">
        <f t="shared" si="3"/>
        <v>0.7172972972972973</v>
      </c>
    </row>
    <row r="28" spans="1:7" s="7" customFormat="1" x14ac:dyDescent="0.25">
      <c r="A28" s="7" t="s">
        <v>113</v>
      </c>
      <c r="B28" s="15">
        <v>18317</v>
      </c>
      <c r="C28" s="10">
        <f>147+942+2539+23</f>
        <v>3651</v>
      </c>
      <c r="D28" s="9">
        <f t="shared" si="2"/>
        <v>0.29794352864370816</v>
      </c>
      <c r="E28" s="8">
        <v>264</v>
      </c>
      <c r="F28" s="13">
        <v>12254</v>
      </c>
      <c r="G28" s="9">
        <f t="shared" si="3"/>
        <v>0.66899601463121694</v>
      </c>
    </row>
    <row r="29" spans="1:7" s="7" customFormat="1" x14ac:dyDescent="0.25">
      <c r="A29" s="7" t="s">
        <v>23</v>
      </c>
      <c r="B29" s="15">
        <v>4148</v>
      </c>
      <c r="C29" s="8">
        <f>35+136+451+8</f>
        <v>630</v>
      </c>
      <c r="D29" s="9">
        <f t="shared" ref="D29:D41" si="4">C29/F29</f>
        <v>0.22768341163715214</v>
      </c>
      <c r="E29" s="8">
        <v>68</v>
      </c>
      <c r="F29" s="13">
        <v>2767</v>
      </c>
      <c r="G29" s="9">
        <f>F29/B29</f>
        <v>0.66706846673095466</v>
      </c>
    </row>
    <row r="30" spans="1:7" s="7" customFormat="1" x14ac:dyDescent="0.25">
      <c r="A30" s="7" t="s">
        <v>24</v>
      </c>
      <c r="B30" s="15">
        <v>19016</v>
      </c>
      <c r="C30" s="10">
        <f>75+370+2044+8+3</f>
        <v>2500</v>
      </c>
      <c r="D30" s="9">
        <f t="shared" si="4"/>
        <v>0.23712415820923835</v>
      </c>
      <c r="E30" s="8">
        <v>509</v>
      </c>
      <c r="F30" s="13">
        <v>10543</v>
      </c>
      <c r="G30" s="9">
        <f>F30/B30</f>
        <v>0.55442785023138408</v>
      </c>
    </row>
    <row r="31" spans="1:7" s="7" customFormat="1" x14ac:dyDescent="0.25">
      <c r="A31" s="7" t="s">
        <v>25</v>
      </c>
      <c r="B31" s="15">
        <v>15790</v>
      </c>
      <c r="C31" s="10">
        <f>373+472+2470+11</f>
        <v>3326</v>
      </c>
      <c r="D31" s="9">
        <f t="shared" si="4"/>
        <v>0.41873347601661842</v>
      </c>
      <c r="E31" s="8">
        <v>366</v>
      </c>
      <c r="F31" s="13">
        <v>7943</v>
      </c>
      <c r="G31" s="9">
        <f t="shared" ref="G31:G41" si="5">F31/B31</f>
        <v>0.50303989867004428</v>
      </c>
    </row>
    <row r="32" spans="1:7" s="7" customFormat="1" x14ac:dyDescent="0.25">
      <c r="A32" s="7" t="s">
        <v>26</v>
      </c>
      <c r="B32" s="15">
        <v>18004</v>
      </c>
      <c r="C32" s="10">
        <f>222+349+2164+20+2</f>
        <v>2757</v>
      </c>
      <c r="D32" s="9">
        <f t="shared" si="4"/>
        <v>0.2435727537768354</v>
      </c>
      <c r="E32" s="8">
        <v>363</v>
      </c>
      <c r="F32" s="13">
        <v>11319</v>
      </c>
      <c r="G32" s="9">
        <f t="shared" si="5"/>
        <v>0.62869362363919135</v>
      </c>
    </row>
    <row r="33" spans="1:7" s="7" customFormat="1" x14ac:dyDescent="0.25">
      <c r="A33" s="7" t="s">
        <v>112</v>
      </c>
      <c r="B33" s="15">
        <v>15658</v>
      </c>
      <c r="C33" s="10">
        <f>193+300+2233+71+5</f>
        <v>2802</v>
      </c>
      <c r="D33" s="9">
        <f t="shared" si="4"/>
        <v>0.33504723185459762</v>
      </c>
      <c r="E33" s="8">
        <v>668</v>
      </c>
      <c r="F33" s="13">
        <v>8363</v>
      </c>
      <c r="G33" s="9">
        <f t="shared" si="5"/>
        <v>0.53410397241026952</v>
      </c>
    </row>
    <row r="34" spans="1:7" s="7" customFormat="1" x14ac:dyDescent="0.25">
      <c r="A34" s="7" t="s">
        <v>27</v>
      </c>
      <c r="B34" s="15">
        <v>1920</v>
      </c>
      <c r="C34" s="8">
        <f>20+120+73</f>
        <v>213</v>
      </c>
      <c r="D34" s="9">
        <f t="shared" si="4"/>
        <v>0.1531272465851905</v>
      </c>
      <c r="E34" s="8">
        <v>25</v>
      </c>
      <c r="F34" s="13">
        <v>1391</v>
      </c>
      <c r="G34" s="9">
        <f t="shared" si="5"/>
        <v>0.72447916666666667</v>
      </c>
    </row>
    <row r="35" spans="1:7" s="7" customFormat="1" x14ac:dyDescent="0.25">
      <c r="A35" s="7" t="s">
        <v>28</v>
      </c>
      <c r="B35" s="15">
        <v>1811</v>
      </c>
      <c r="C35" s="8">
        <f>14+91+210+1</f>
        <v>316</v>
      </c>
      <c r="D35" s="9">
        <f t="shared" si="4"/>
        <v>0.23921271763815291</v>
      </c>
      <c r="E35" s="8">
        <v>18</v>
      </c>
      <c r="F35" s="13">
        <v>1321</v>
      </c>
      <c r="G35" s="9">
        <f t="shared" si="5"/>
        <v>0.72943125345113202</v>
      </c>
    </row>
    <row r="36" spans="1:7" s="7" customFormat="1" x14ac:dyDescent="0.25">
      <c r="A36" s="7" t="s">
        <v>29</v>
      </c>
      <c r="B36" s="15">
        <v>3543</v>
      </c>
      <c r="C36" s="8">
        <v>782</v>
      </c>
      <c r="D36" s="9">
        <f t="shared" si="4"/>
        <v>0.3178861788617886</v>
      </c>
      <c r="E36" s="8">
        <v>93</v>
      </c>
      <c r="F36" s="10">
        <v>2460</v>
      </c>
      <c r="G36" s="9">
        <f t="shared" si="5"/>
        <v>0.69432684165961045</v>
      </c>
    </row>
    <row r="37" spans="1:7" s="7" customFormat="1" x14ac:dyDescent="0.25">
      <c r="A37" s="7" t="s">
        <v>30</v>
      </c>
      <c r="B37" s="15">
        <v>3032</v>
      </c>
      <c r="C37" s="8">
        <f>63+103+467+4</f>
        <v>637</v>
      </c>
      <c r="D37" s="9">
        <f t="shared" si="4"/>
        <v>0.30033003300330036</v>
      </c>
      <c r="E37" s="8">
        <v>73</v>
      </c>
      <c r="F37" s="13">
        <v>2121</v>
      </c>
      <c r="G37" s="9">
        <f t="shared" si="5"/>
        <v>0.69953825857519791</v>
      </c>
    </row>
    <row r="38" spans="1:7" s="7" customFormat="1" x14ac:dyDescent="0.25">
      <c r="A38" s="7" t="s">
        <v>31</v>
      </c>
      <c r="B38" s="15">
        <v>860</v>
      </c>
      <c r="C38" s="8">
        <v>254</v>
      </c>
      <c r="D38" s="9">
        <f t="shared" si="4"/>
        <v>0.37853949329359166</v>
      </c>
      <c r="E38" s="8">
        <v>15</v>
      </c>
      <c r="F38" s="14">
        <v>671</v>
      </c>
      <c r="G38" s="9">
        <f t="shared" si="5"/>
        <v>0.78023255813953485</v>
      </c>
    </row>
    <row r="39" spans="1:7" s="7" customFormat="1" x14ac:dyDescent="0.25">
      <c r="A39" s="7" t="s">
        <v>32</v>
      </c>
      <c r="B39" s="15">
        <v>4835</v>
      </c>
      <c r="C39" s="8">
        <f>41+181+501+3+1</f>
        <v>727</v>
      </c>
      <c r="D39" s="9">
        <f t="shared" si="4"/>
        <v>0.24974235657849536</v>
      </c>
      <c r="E39" s="8">
        <v>35</v>
      </c>
      <c r="F39" s="13">
        <v>2911</v>
      </c>
      <c r="G39" s="9">
        <f t="shared" si="5"/>
        <v>0.60206825232678385</v>
      </c>
    </row>
    <row r="40" spans="1:7" s="7" customFormat="1" x14ac:dyDescent="0.25">
      <c r="A40" s="7" t="s">
        <v>33</v>
      </c>
      <c r="B40" s="15">
        <v>1301</v>
      </c>
      <c r="C40" s="8">
        <f>14+59+348</f>
        <v>421</v>
      </c>
      <c r="D40" s="9">
        <f t="shared" si="4"/>
        <v>0.4688195991091314</v>
      </c>
      <c r="E40" s="8">
        <v>26</v>
      </c>
      <c r="F40" s="8">
        <v>898</v>
      </c>
      <c r="G40" s="9">
        <f t="shared" si="5"/>
        <v>0.69023827824750195</v>
      </c>
    </row>
    <row r="41" spans="1:7" s="7" customFormat="1" x14ac:dyDescent="0.25">
      <c r="A41" s="7" t="s">
        <v>34</v>
      </c>
      <c r="B41" s="15">
        <v>4202</v>
      </c>
      <c r="C41" s="8">
        <f>31+316+195</f>
        <v>542</v>
      </c>
      <c r="D41" s="9">
        <f t="shared" si="4"/>
        <v>0.20545868081880211</v>
      </c>
      <c r="E41" s="8">
        <v>81</v>
      </c>
      <c r="F41" s="13">
        <v>2638</v>
      </c>
      <c r="G41" s="9">
        <f t="shared" si="5"/>
        <v>0.62779628748215133</v>
      </c>
    </row>
    <row r="42" spans="1:7" s="7" customFormat="1" x14ac:dyDescent="0.25">
      <c r="A42" s="7" t="s">
        <v>35</v>
      </c>
      <c r="B42" s="15">
        <v>21761</v>
      </c>
      <c r="C42" s="10">
        <f>633+1036+3854+87+2</f>
        <v>5612</v>
      </c>
      <c r="D42" s="9">
        <f t="shared" ref="D42:D75" si="6">C42/F42</f>
        <v>0.36358924522189828</v>
      </c>
      <c r="E42" s="8">
        <v>399</v>
      </c>
      <c r="F42" s="13">
        <v>15435</v>
      </c>
      <c r="G42" s="9">
        <f t="shared" ref="G42:G75" si="7">F42/B42</f>
        <v>0.70929644777353984</v>
      </c>
    </row>
    <row r="43" spans="1:7" s="7" customFormat="1" x14ac:dyDescent="0.25">
      <c r="A43" s="7" t="s">
        <v>36</v>
      </c>
      <c r="B43" s="15">
        <v>2383</v>
      </c>
      <c r="C43" s="8">
        <v>308</v>
      </c>
      <c r="D43" s="9">
        <f t="shared" si="6"/>
        <v>0.22222222222222221</v>
      </c>
      <c r="E43" s="8">
        <v>63</v>
      </c>
      <c r="F43" s="13">
        <v>1386</v>
      </c>
      <c r="G43" s="9">
        <f t="shared" si="7"/>
        <v>0.58161980696600923</v>
      </c>
    </row>
    <row r="44" spans="1:7" s="7" customFormat="1" x14ac:dyDescent="0.25">
      <c r="A44" s="7" t="s">
        <v>37</v>
      </c>
      <c r="B44" s="15">
        <v>1404</v>
      </c>
      <c r="C44" s="8">
        <f>18+61+97</f>
        <v>176</v>
      </c>
      <c r="D44" s="9">
        <f t="shared" si="6"/>
        <v>0.16730038022813687</v>
      </c>
      <c r="E44" s="8">
        <v>23</v>
      </c>
      <c r="F44" s="13">
        <v>1052</v>
      </c>
      <c r="G44" s="9">
        <f t="shared" si="7"/>
        <v>0.74928774928774933</v>
      </c>
    </row>
    <row r="45" spans="1:7" s="7" customFormat="1" x14ac:dyDescent="0.25">
      <c r="A45" s="7" t="s">
        <v>111</v>
      </c>
      <c r="B45" s="15">
        <v>8534</v>
      </c>
      <c r="C45" s="10">
        <f>116+381+1317+7</f>
        <v>1821</v>
      </c>
      <c r="D45" s="9">
        <f t="shared" si="6"/>
        <v>0.30044547104438213</v>
      </c>
      <c r="E45" s="8">
        <v>142</v>
      </c>
      <c r="F45" s="13">
        <v>6061</v>
      </c>
      <c r="G45" s="9">
        <f t="shared" si="7"/>
        <v>0.71021795172252167</v>
      </c>
    </row>
    <row r="46" spans="1:7" s="7" customFormat="1" x14ac:dyDescent="0.25">
      <c r="A46" s="7" t="s">
        <v>38</v>
      </c>
      <c r="B46" s="15">
        <v>13280</v>
      </c>
      <c r="C46" s="10">
        <f>46+533+856+20+3</f>
        <v>1458</v>
      </c>
      <c r="D46" s="9">
        <f t="shared" si="6"/>
        <v>0.16853542943012367</v>
      </c>
      <c r="E46" s="8">
        <v>239</v>
      </c>
      <c r="F46" s="13">
        <v>8651</v>
      </c>
      <c r="G46" s="9">
        <f t="shared" si="7"/>
        <v>0.65143072289156623</v>
      </c>
    </row>
    <row r="47" spans="1:7" s="7" customFormat="1" x14ac:dyDescent="0.25">
      <c r="A47" s="7" t="s">
        <v>39</v>
      </c>
      <c r="B47" s="15">
        <v>2159</v>
      </c>
      <c r="C47" s="8">
        <f>48+221+183+5+1</f>
        <v>458</v>
      </c>
      <c r="D47" s="9">
        <f t="shared" si="6"/>
        <v>0.3019116677653263</v>
      </c>
      <c r="E47" s="8">
        <v>34</v>
      </c>
      <c r="F47" s="13">
        <v>1517</v>
      </c>
      <c r="G47" s="9">
        <f t="shared" si="7"/>
        <v>0.7026401111625753</v>
      </c>
    </row>
    <row r="48" spans="1:7" s="2" customFormat="1" x14ac:dyDescent="0.25">
      <c r="A48" s="2" t="s">
        <v>96</v>
      </c>
      <c r="B48" s="2" t="s">
        <v>97</v>
      </c>
      <c r="C48" s="2" t="s">
        <v>99</v>
      </c>
      <c r="D48" s="2" t="s">
        <v>100</v>
      </c>
      <c r="E48" s="2" t="s">
        <v>102</v>
      </c>
      <c r="F48" s="2" t="s">
        <v>104</v>
      </c>
      <c r="G48" s="2" t="s">
        <v>100</v>
      </c>
    </row>
    <row r="49" spans="1:7" s="2" customFormat="1" x14ac:dyDescent="0.25">
      <c r="A49" s="1"/>
      <c r="B49" s="2" t="s">
        <v>98</v>
      </c>
      <c r="C49" s="2" t="s">
        <v>98</v>
      </c>
      <c r="D49" s="2" t="s">
        <v>101</v>
      </c>
      <c r="E49" s="2" t="s">
        <v>103</v>
      </c>
      <c r="F49" s="2" t="s">
        <v>105</v>
      </c>
      <c r="G49" s="2" t="s">
        <v>106</v>
      </c>
    </row>
    <row r="50" spans="1:7" x14ac:dyDescent="0.25">
      <c r="A50" s="7" t="s">
        <v>40</v>
      </c>
      <c r="B50" s="4">
        <v>407550</v>
      </c>
      <c r="C50" s="10">
        <v>182758</v>
      </c>
      <c r="D50" s="6">
        <f t="shared" si="6"/>
        <v>0.60978075546109423</v>
      </c>
      <c r="E50" s="10">
        <v>10571</v>
      </c>
      <c r="F50" s="13">
        <v>299711</v>
      </c>
      <c r="G50" s="6">
        <f t="shared" si="7"/>
        <v>0.73539688381793644</v>
      </c>
    </row>
    <row r="51" spans="1:7" s="7" customFormat="1" x14ac:dyDescent="0.25">
      <c r="A51" s="7" t="s">
        <v>41</v>
      </c>
      <c r="B51" s="15">
        <v>2157</v>
      </c>
      <c r="C51" s="8">
        <f>14+75+240+3</f>
        <v>332</v>
      </c>
      <c r="D51" s="9">
        <f t="shared" si="6"/>
        <v>0.23413258110014104</v>
      </c>
      <c r="E51" s="8">
        <v>45</v>
      </c>
      <c r="F51" s="13">
        <v>1418</v>
      </c>
      <c r="G51" s="9">
        <f t="shared" si="7"/>
        <v>0.65739452943903565</v>
      </c>
    </row>
    <row r="52" spans="1:7" s="7" customFormat="1" x14ac:dyDescent="0.25">
      <c r="A52" s="7" t="s">
        <v>110</v>
      </c>
      <c r="B52" s="15">
        <v>5278</v>
      </c>
      <c r="C52" s="8">
        <v>785</v>
      </c>
      <c r="D52" s="9">
        <f t="shared" si="6"/>
        <v>0.22959929804036269</v>
      </c>
      <c r="E52" s="8">
        <v>61</v>
      </c>
      <c r="F52" s="13">
        <v>3419</v>
      </c>
      <c r="G52" s="9">
        <f t="shared" si="7"/>
        <v>0.64778325123152714</v>
      </c>
    </row>
    <row r="53" spans="1:7" s="7" customFormat="1" x14ac:dyDescent="0.25">
      <c r="A53" s="7" t="s">
        <v>42</v>
      </c>
      <c r="B53" s="15">
        <v>1425</v>
      </c>
      <c r="C53" s="8">
        <f>6+163+120</f>
        <v>289</v>
      </c>
      <c r="D53" s="9">
        <f t="shared" si="6"/>
        <v>0.25462555066079295</v>
      </c>
      <c r="E53" s="8">
        <v>77</v>
      </c>
      <c r="F53" s="13">
        <v>1135</v>
      </c>
      <c r="G53" s="9">
        <f t="shared" si="7"/>
        <v>0.79649122807017547</v>
      </c>
    </row>
    <row r="54" spans="1:7" s="7" customFormat="1" x14ac:dyDescent="0.25">
      <c r="A54" s="7" t="s">
        <v>43</v>
      </c>
      <c r="B54" s="15">
        <v>16130</v>
      </c>
      <c r="C54" s="8">
        <f>139+371+353+20+1</f>
        <v>884</v>
      </c>
      <c r="D54" s="9">
        <f t="shared" si="6"/>
        <v>0.10535097127875104</v>
      </c>
      <c r="E54" s="8">
        <v>210</v>
      </c>
      <c r="F54" s="13">
        <v>8391</v>
      </c>
      <c r="G54" s="9">
        <f t="shared" si="7"/>
        <v>0.52021078735275883</v>
      </c>
    </row>
    <row r="55" spans="1:7" s="7" customFormat="1" x14ac:dyDescent="0.25">
      <c r="A55" s="7" t="s">
        <v>44</v>
      </c>
      <c r="B55" s="15">
        <v>1321</v>
      </c>
      <c r="C55" s="8">
        <f>23+50+113</f>
        <v>186</v>
      </c>
      <c r="D55" s="9">
        <f t="shared" si="6"/>
        <v>0.20598006644518271</v>
      </c>
      <c r="E55" s="8">
        <v>38</v>
      </c>
      <c r="F55" s="8">
        <v>903</v>
      </c>
      <c r="G55" s="9">
        <f t="shared" si="7"/>
        <v>0.6835730507191522</v>
      </c>
    </row>
    <row r="56" spans="1:7" s="7" customFormat="1" x14ac:dyDescent="0.25">
      <c r="A56" s="7" t="s">
        <v>45</v>
      </c>
      <c r="B56" s="15">
        <v>50794</v>
      </c>
      <c r="C56" s="10">
        <f>158+3632+9715+222+22</f>
        <v>13749</v>
      </c>
      <c r="D56" s="9">
        <f t="shared" si="6"/>
        <v>0.44143710267771141</v>
      </c>
      <c r="E56" s="8">
        <v>748</v>
      </c>
      <c r="F56" s="13">
        <v>31146</v>
      </c>
      <c r="G56" s="9">
        <f t="shared" si="7"/>
        <v>0.61318265936921679</v>
      </c>
    </row>
    <row r="57" spans="1:7" s="7" customFormat="1" x14ac:dyDescent="0.25">
      <c r="A57" s="7" t="s">
        <v>46</v>
      </c>
      <c r="B57" s="15">
        <v>2177</v>
      </c>
      <c r="C57" s="8">
        <f>41+134+196+10</f>
        <v>381</v>
      </c>
      <c r="D57" s="9">
        <f t="shared" si="6"/>
        <v>0.25</v>
      </c>
      <c r="E57" s="8">
        <v>25</v>
      </c>
      <c r="F57" s="13">
        <v>1524</v>
      </c>
      <c r="G57" s="9">
        <f t="shared" si="7"/>
        <v>0.70004593477262289</v>
      </c>
    </row>
    <row r="58" spans="1:7" s="7" customFormat="1" x14ac:dyDescent="0.25">
      <c r="A58" s="7" t="s">
        <v>47</v>
      </c>
      <c r="B58" s="15">
        <v>6813</v>
      </c>
      <c r="C58" s="10">
        <f>42+165+794+6</f>
        <v>1007</v>
      </c>
      <c r="D58" s="9">
        <f t="shared" si="6"/>
        <v>0.22146470200131954</v>
      </c>
      <c r="E58" s="8">
        <v>160</v>
      </c>
      <c r="F58" s="13">
        <v>4547</v>
      </c>
      <c r="G58" s="9">
        <f t="shared" si="7"/>
        <v>0.66740055775722884</v>
      </c>
    </row>
    <row r="59" spans="1:7" s="7" customFormat="1" x14ac:dyDescent="0.25">
      <c r="A59" s="7" t="s">
        <v>48</v>
      </c>
      <c r="B59" s="15">
        <v>1856</v>
      </c>
      <c r="C59" s="8">
        <f>103+187+95+2</f>
        <v>387</v>
      </c>
      <c r="D59" s="9">
        <f t="shared" si="6"/>
        <v>0.27861771058315332</v>
      </c>
      <c r="E59" s="8">
        <v>16</v>
      </c>
      <c r="F59" s="10">
        <v>1389</v>
      </c>
      <c r="G59" s="9">
        <f t="shared" si="7"/>
        <v>0.74838362068965514</v>
      </c>
    </row>
    <row r="60" spans="1:7" s="7" customFormat="1" x14ac:dyDescent="0.25">
      <c r="A60" s="7" t="s">
        <v>49</v>
      </c>
      <c r="B60" s="15">
        <v>19872</v>
      </c>
      <c r="C60" s="10">
        <f>146+439+3107+36</f>
        <v>3728</v>
      </c>
      <c r="D60" s="9">
        <f t="shared" si="6"/>
        <v>0.29025225786359388</v>
      </c>
      <c r="E60" s="8">
        <v>594</v>
      </c>
      <c r="F60" s="10">
        <v>12844</v>
      </c>
      <c r="G60" s="9">
        <f t="shared" si="7"/>
        <v>0.64633655394524958</v>
      </c>
    </row>
    <row r="61" spans="1:7" s="7" customFormat="1" x14ac:dyDescent="0.25">
      <c r="A61" s="7" t="s">
        <v>51</v>
      </c>
      <c r="B61" s="15">
        <v>7911</v>
      </c>
      <c r="C61" s="10">
        <f>99+336+1354+17</f>
        <v>1806</v>
      </c>
      <c r="D61" s="9">
        <f t="shared" si="6"/>
        <v>0.31068295200412865</v>
      </c>
      <c r="E61" s="8">
        <v>164</v>
      </c>
      <c r="F61" s="10">
        <v>5813</v>
      </c>
      <c r="G61" s="9">
        <f t="shared" si="7"/>
        <v>0.73479964606244474</v>
      </c>
    </row>
    <row r="62" spans="1:7" s="7" customFormat="1" x14ac:dyDescent="0.25">
      <c r="A62" s="7" t="s">
        <v>52</v>
      </c>
      <c r="B62" s="15">
        <v>6468</v>
      </c>
      <c r="C62" s="10">
        <f>126+295+1050+13</f>
        <v>1484</v>
      </c>
      <c r="D62" s="9">
        <f t="shared" si="6"/>
        <v>0.30572723526988049</v>
      </c>
      <c r="E62" s="8">
        <v>144</v>
      </c>
      <c r="F62" s="13">
        <v>4854</v>
      </c>
      <c r="G62" s="9">
        <f t="shared" si="7"/>
        <v>0.75046382189239336</v>
      </c>
    </row>
    <row r="63" spans="1:7" s="7" customFormat="1" x14ac:dyDescent="0.25">
      <c r="A63" s="7" t="s">
        <v>50</v>
      </c>
      <c r="B63" s="15">
        <v>17068</v>
      </c>
      <c r="C63" s="10">
        <v>2988</v>
      </c>
      <c r="D63" s="9">
        <f t="shared" si="6"/>
        <v>0.22660397391172454</v>
      </c>
      <c r="E63" s="8">
        <v>308</v>
      </c>
      <c r="F63" s="13">
        <v>13186</v>
      </c>
      <c r="G63" s="9">
        <f t="shared" si="7"/>
        <v>0.77255683149753929</v>
      </c>
    </row>
    <row r="64" spans="1:7" s="7" customFormat="1" x14ac:dyDescent="0.25">
      <c r="A64" s="7" t="s">
        <v>53</v>
      </c>
      <c r="B64" s="15">
        <v>3237</v>
      </c>
      <c r="C64" s="8">
        <f>40+97+422+3</f>
        <v>562</v>
      </c>
      <c r="D64" s="9">
        <f t="shared" si="6"/>
        <v>0.32041049030786772</v>
      </c>
      <c r="E64" s="8">
        <v>60</v>
      </c>
      <c r="F64" s="10">
        <v>1754</v>
      </c>
      <c r="G64" s="9">
        <f t="shared" si="7"/>
        <v>0.54185974667902381</v>
      </c>
    </row>
    <row r="65" spans="1:7" s="7" customFormat="1" x14ac:dyDescent="0.25">
      <c r="A65" s="7" t="s">
        <v>54</v>
      </c>
      <c r="B65" s="15">
        <v>22059</v>
      </c>
      <c r="C65" s="10">
        <f>220+1300+5030+22+1</f>
        <v>6573</v>
      </c>
      <c r="D65" s="9">
        <f t="shared" si="6"/>
        <v>0.42463983461463917</v>
      </c>
      <c r="E65" s="8">
        <v>425</v>
      </c>
      <c r="F65" s="10">
        <v>15479</v>
      </c>
      <c r="G65" s="9">
        <f t="shared" si="7"/>
        <v>0.70170905299424269</v>
      </c>
    </row>
    <row r="66" spans="1:7" x14ac:dyDescent="0.25">
      <c r="A66" s="7" t="s">
        <v>55</v>
      </c>
      <c r="B66" s="4">
        <v>4163</v>
      </c>
      <c r="C66" s="8">
        <f>122+139+398+5</f>
        <v>664</v>
      </c>
      <c r="D66" s="9">
        <f t="shared" si="6"/>
        <v>0.22447599729546991</v>
      </c>
      <c r="E66" s="8">
        <v>110</v>
      </c>
      <c r="F66" s="13">
        <v>2958</v>
      </c>
      <c r="G66" s="6">
        <f t="shared" si="7"/>
        <v>0.7105452798462647</v>
      </c>
    </row>
    <row r="67" spans="1:7" s="7" customFormat="1" x14ac:dyDescent="0.25">
      <c r="A67" s="7" t="s">
        <v>109</v>
      </c>
      <c r="B67" s="15">
        <v>19573</v>
      </c>
      <c r="C67" s="10">
        <f>268+462+973+15+1</f>
        <v>1719</v>
      </c>
      <c r="D67" s="9">
        <f t="shared" si="6"/>
        <v>0.1393595460072963</v>
      </c>
      <c r="E67" s="8">
        <v>379</v>
      </c>
      <c r="F67" s="13">
        <v>12335</v>
      </c>
      <c r="G67" s="9">
        <f t="shared" si="7"/>
        <v>0.63020487406120673</v>
      </c>
    </row>
    <row r="68" spans="1:7" s="7" customFormat="1" x14ac:dyDescent="0.25">
      <c r="A68" s="7" t="s">
        <v>56</v>
      </c>
      <c r="B68" s="15">
        <v>3868</v>
      </c>
      <c r="C68" s="10">
        <f>152+355+519+10+1</f>
        <v>1037</v>
      </c>
      <c r="D68" s="9">
        <f t="shared" si="6"/>
        <v>0.38265682656826566</v>
      </c>
      <c r="E68" s="8">
        <v>71</v>
      </c>
      <c r="F68" s="13">
        <v>2710</v>
      </c>
      <c r="G68" s="9">
        <f t="shared" si="7"/>
        <v>0.70062047569803521</v>
      </c>
    </row>
    <row r="69" spans="1:7" s="7" customFormat="1" x14ac:dyDescent="0.25">
      <c r="A69" s="7" t="s">
        <v>57</v>
      </c>
      <c r="B69" s="15">
        <v>1957</v>
      </c>
      <c r="C69" s="8">
        <f>21+58+328</f>
        <v>407</v>
      </c>
      <c r="D69" s="9">
        <f t="shared" si="6"/>
        <v>0.32796132151490731</v>
      </c>
      <c r="E69" s="8">
        <v>29</v>
      </c>
      <c r="F69" s="10">
        <v>1241</v>
      </c>
      <c r="G69" s="9">
        <f t="shared" si="7"/>
        <v>0.63413387838528357</v>
      </c>
    </row>
    <row r="70" spans="1:7" s="7" customFormat="1" x14ac:dyDescent="0.25">
      <c r="A70" s="7" t="s">
        <v>58</v>
      </c>
      <c r="B70" s="15">
        <v>7318</v>
      </c>
      <c r="C70" s="8">
        <f>91+321+352+13</f>
        <v>777</v>
      </c>
      <c r="D70" s="9">
        <f t="shared" si="6"/>
        <v>0.14690867838910948</v>
      </c>
      <c r="E70" s="8">
        <v>80</v>
      </c>
      <c r="F70" s="13">
        <v>5289</v>
      </c>
      <c r="G70" s="9">
        <f t="shared" si="7"/>
        <v>0.72273845312927032</v>
      </c>
    </row>
    <row r="71" spans="1:7" s="7" customFormat="1" x14ac:dyDescent="0.25">
      <c r="A71" s="7" t="s">
        <v>59</v>
      </c>
      <c r="B71" s="15">
        <v>11468</v>
      </c>
      <c r="C71" s="8">
        <v>619</v>
      </c>
      <c r="D71" s="9">
        <f t="shared" si="6"/>
        <v>9.5509952167875334E-2</v>
      </c>
      <c r="E71" s="8">
        <v>134</v>
      </c>
      <c r="F71" s="13">
        <v>6481</v>
      </c>
      <c r="G71" s="9">
        <f t="shared" si="7"/>
        <v>0.56513777467736315</v>
      </c>
    </row>
    <row r="72" spans="1:7" s="7" customFormat="1" x14ac:dyDescent="0.25">
      <c r="A72" s="7" t="s">
        <v>60</v>
      </c>
      <c r="B72" s="15">
        <v>1988</v>
      </c>
      <c r="C72" s="8">
        <f>25+118+256+2</f>
        <v>401</v>
      </c>
      <c r="D72" s="9">
        <f t="shared" si="6"/>
        <v>0.26930826057756885</v>
      </c>
      <c r="E72" s="8">
        <v>34</v>
      </c>
      <c r="F72" s="13">
        <v>1489</v>
      </c>
      <c r="G72" s="9">
        <f t="shared" si="7"/>
        <v>0.74899396378269623</v>
      </c>
    </row>
    <row r="73" spans="1:7" s="7" customFormat="1" x14ac:dyDescent="0.25">
      <c r="A73" s="7" t="s">
        <v>61</v>
      </c>
      <c r="B73" s="15">
        <v>3367</v>
      </c>
      <c r="C73" s="8">
        <f>84+121+247+6</f>
        <v>458</v>
      </c>
      <c r="D73" s="9">
        <f t="shared" si="6"/>
        <v>0.1976694000863185</v>
      </c>
      <c r="E73" s="8">
        <v>59</v>
      </c>
      <c r="F73" s="10">
        <v>2317</v>
      </c>
      <c r="G73" s="9">
        <f t="shared" si="7"/>
        <v>0.68814968814968813</v>
      </c>
    </row>
    <row r="74" spans="1:7" s="7" customFormat="1" x14ac:dyDescent="0.25">
      <c r="A74" s="7" t="s">
        <v>62</v>
      </c>
      <c r="B74" s="15">
        <v>10808</v>
      </c>
      <c r="C74" s="10">
        <f>94+490+449+4</f>
        <v>1037</v>
      </c>
      <c r="D74" s="9">
        <f t="shared" si="6"/>
        <v>0.14017301973506352</v>
      </c>
      <c r="E74" s="8">
        <v>251</v>
      </c>
      <c r="F74" s="13">
        <v>7398</v>
      </c>
      <c r="G74" s="9">
        <f t="shared" si="7"/>
        <v>0.68449296817172467</v>
      </c>
    </row>
    <row r="75" spans="1:7" s="7" customFormat="1" x14ac:dyDescent="0.25">
      <c r="A75" s="7" t="s">
        <v>63</v>
      </c>
      <c r="B75" s="15">
        <v>2744</v>
      </c>
      <c r="C75" s="8">
        <f>14+101+178</f>
        <v>293</v>
      </c>
      <c r="D75" s="9">
        <f t="shared" si="6"/>
        <v>0.15610015982951519</v>
      </c>
      <c r="E75" s="8">
        <v>47</v>
      </c>
      <c r="F75" s="13">
        <v>1877</v>
      </c>
      <c r="G75" s="9">
        <f t="shared" si="7"/>
        <v>0.68403790087463556</v>
      </c>
    </row>
    <row r="76" spans="1:7" s="7" customFormat="1" x14ac:dyDescent="0.25">
      <c r="A76" s="7" t="s">
        <v>64</v>
      </c>
      <c r="B76" s="15">
        <v>4362</v>
      </c>
      <c r="C76" s="8">
        <f>30+173+484+9+1</f>
        <v>697</v>
      </c>
      <c r="D76" s="9">
        <f t="shared" ref="D76:D98" si="8">C76/F76</f>
        <v>0.2325658992325659</v>
      </c>
      <c r="E76" s="8">
        <v>46</v>
      </c>
      <c r="F76" s="13">
        <v>2997</v>
      </c>
      <c r="G76" s="9">
        <f t="shared" ref="G76:G98" si="9">F76/B76</f>
        <v>0.68707015130673998</v>
      </c>
    </row>
    <row r="77" spans="1:7" s="7" customFormat="1" x14ac:dyDescent="0.25">
      <c r="A77" s="7" t="s">
        <v>65</v>
      </c>
      <c r="B77" s="15">
        <v>3895</v>
      </c>
      <c r="C77" s="8">
        <f>119+108+693+6</f>
        <v>926</v>
      </c>
      <c r="D77" s="9">
        <f t="shared" si="8"/>
        <v>0.33417538794658969</v>
      </c>
      <c r="E77" s="8">
        <v>67</v>
      </c>
      <c r="F77" s="10">
        <v>2771</v>
      </c>
      <c r="G77" s="9">
        <f t="shared" si="9"/>
        <v>0.71142490372272149</v>
      </c>
    </row>
    <row r="78" spans="1:7" s="7" customFormat="1" x14ac:dyDescent="0.25">
      <c r="A78" s="7" t="s">
        <v>66</v>
      </c>
      <c r="B78" s="15">
        <v>3613</v>
      </c>
      <c r="C78" s="8">
        <f>19+143+233</f>
        <v>395</v>
      </c>
      <c r="D78" s="9">
        <f t="shared" si="8"/>
        <v>0.14474166361304508</v>
      </c>
      <c r="E78" s="8">
        <v>63</v>
      </c>
      <c r="F78" s="10">
        <v>2729</v>
      </c>
      <c r="G78" s="9">
        <f t="shared" si="9"/>
        <v>0.7553279822861888</v>
      </c>
    </row>
    <row r="79" spans="1:7" s="7" customFormat="1" x14ac:dyDescent="0.25">
      <c r="A79" s="7" t="s">
        <v>67</v>
      </c>
      <c r="B79" s="15">
        <v>14381</v>
      </c>
      <c r="C79" s="10">
        <v>2376</v>
      </c>
      <c r="D79" s="9">
        <f t="shared" si="8"/>
        <v>0.21294138734540241</v>
      </c>
      <c r="E79" s="8">
        <v>367</v>
      </c>
      <c r="F79" s="13">
        <v>11158</v>
      </c>
      <c r="G79" s="9">
        <f t="shared" si="9"/>
        <v>0.77588484806341695</v>
      </c>
    </row>
    <row r="80" spans="1:7" s="7" customFormat="1" x14ac:dyDescent="0.25">
      <c r="A80" s="7" t="s">
        <v>68</v>
      </c>
      <c r="B80" s="15">
        <v>5900</v>
      </c>
      <c r="C80" s="8">
        <f>73+151+718+13+1</f>
        <v>956</v>
      </c>
      <c r="D80" s="9">
        <f t="shared" si="8"/>
        <v>0.23983943803311591</v>
      </c>
      <c r="E80" s="8">
        <v>38</v>
      </c>
      <c r="F80" s="13">
        <v>3986</v>
      </c>
      <c r="G80" s="9">
        <f t="shared" si="9"/>
        <v>0.67559322033898306</v>
      </c>
    </row>
    <row r="81" spans="1:7" s="7" customFormat="1" x14ac:dyDescent="0.25">
      <c r="A81" s="7" t="s">
        <v>69</v>
      </c>
      <c r="B81" s="15">
        <v>2111</v>
      </c>
      <c r="C81" s="8">
        <f>36+103+260+5+1</f>
        <v>405</v>
      </c>
      <c r="D81" s="9">
        <f t="shared" si="8"/>
        <v>0.26964047936085217</v>
      </c>
      <c r="E81" s="8">
        <v>18</v>
      </c>
      <c r="F81" s="13">
        <v>1502</v>
      </c>
      <c r="G81" s="9">
        <f t="shared" si="9"/>
        <v>0.71151113216485073</v>
      </c>
    </row>
    <row r="82" spans="1:7" x14ac:dyDescent="0.25">
      <c r="A82" s="3" t="s">
        <v>70</v>
      </c>
      <c r="B82" s="4">
        <v>41135</v>
      </c>
      <c r="C82" s="10">
        <f>454+1512+6288+40+2</f>
        <v>8296</v>
      </c>
      <c r="D82" s="6">
        <f t="shared" si="8"/>
        <v>0.33067602040816324</v>
      </c>
      <c r="E82" s="8">
        <v>835</v>
      </c>
      <c r="F82" s="13">
        <v>25088</v>
      </c>
      <c r="G82" s="6">
        <f t="shared" si="9"/>
        <v>0.60989425063814273</v>
      </c>
    </row>
    <row r="83" spans="1:7" s="7" customFormat="1" x14ac:dyDescent="0.25">
      <c r="A83" s="7" t="s">
        <v>71</v>
      </c>
      <c r="B83" s="15">
        <v>3700</v>
      </c>
      <c r="C83" s="8">
        <f>49+192+454+5</f>
        <v>700</v>
      </c>
      <c r="D83" s="9">
        <f t="shared" si="8"/>
        <v>0.2716336825766395</v>
      </c>
      <c r="E83" s="8">
        <v>53</v>
      </c>
      <c r="F83" s="10">
        <v>2577</v>
      </c>
      <c r="G83" s="9">
        <f t="shared" si="9"/>
        <v>0.69648648648648648</v>
      </c>
    </row>
    <row r="84" spans="1:7" s="7" customFormat="1" x14ac:dyDescent="0.25">
      <c r="A84" s="7" t="s">
        <v>72</v>
      </c>
      <c r="B84" s="15">
        <v>5980</v>
      </c>
      <c r="C84" s="10">
        <f>60+235+1050+10</f>
        <v>1355</v>
      </c>
      <c r="D84" s="9">
        <f t="shared" si="8"/>
        <v>0.35714285714285715</v>
      </c>
      <c r="E84" s="8">
        <v>110</v>
      </c>
      <c r="F84" s="13">
        <v>3794</v>
      </c>
      <c r="G84" s="9">
        <f t="shared" si="9"/>
        <v>0.6344481605351171</v>
      </c>
    </row>
    <row r="85" spans="1:7" s="7" customFormat="1" x14ac:dyDescent="0.25">
      <c r="A85" s="7" t="s">
        <v>73</v>
      </c>
      <c r="B85" s="15">
        <v>33917</v>
      </c>
      <c r="C85" s="10">
        <f>459+853+7694+217+20</f>
        <v>9243</v>
      </c>
      <c r="D85" s="9">
        <f t="shared" si="8"/>
        <v>0.4051992459778177</v>
      </c>
      <c r="E85" s="10">
        <v>1263</v>
      </c>
      <c r="F85" s="13">
        <v>22811</v>
      </c>
      <c r="G85" s="9">
        <f t="shared" si="9"/>
        <v>0.67255358669693666</v>
      </c>
    </row>
    <row r="86" spans="1:7" s="7" customFormat="1" x14ac:dyDescent="0.25">
      <c r="A86" s="7" t="s">
        <v>74</v>
      </c>
      <c r="B86" s="15">
        <v>3425</v>
      </c>
      <c r="C86" s="8">
        <f>59+90+173+3+2</f>
        <v>327</v>
      </c>
      <c r="D86" s="9">
        <f t="shared" si="8"/>
        <v>0.13478977741137677</v>
      </c>
      <c r="E86" s="8">
        <v>69</v>
      </c>
      <c r="F86" s="13">
        <v>2426</v>
      </c>
      <c r="G86" s="9">
        <f t="shared" si="9"/>
        <v>0.70832116788321164</v>
      </c>
    </row>
    <row r="87" spans="1:7" s="7" customFormat="1" x14ac:dyDescent="0.25">
      <c r="A87" s="7" t="s">
        <v>75</v>
      </c>
      <c r="B87" s="15">
        <v>2118</v>
      </c>
      <c r="C87" s="8">
        <f>29+98+267+2</f>
        <v>396</v>
      </c>
      <c r="D87" s="9">
        <f t="shared" si="8"/>
        <v>0.25352112676056338</v>
      </c>
      <c r="E87" s="8">
        <v>45</v>
      </c>
      <c r="F87" s="10">
        <v>1562</v>
      </c>
      <c r="G87" s="9">
        <f t="shared" si="9"/>
        <v>0.73748819641170915</v>
      </c>
    </row>
    <row r="88" spans="1:7" s="7" customFormat="1" x14ac:dyDescent="0.25">
      <c r="A88" s="7" t="s">
        <v>76</v>
      </c>
      <c r="B88" s="15">
        <v>4478</v>
      </c>
      <c r="C88" s="8">
        <f>104+161+435+7</f>
        <v>707</v>
      </c>
      <c r="D88" s="9">
        <f t="shared" si="8"/>
        <v>0.21653905053598774</v>
      </c>
      <c r="E88" s="8">
        <v>58</v>
      </c>
      <c r="F88" s="13">
        <v>3265</v>
      </c>
      <c r="G88" s="9">
        <f t="shared" si="9"/>
        <v>0.72912014292094685</v>
      </c>
    </row>
    <row r="89" spans="1:7" s="7" customFormat="1" x14ac:dyDescent="0.25">
      <c r="A89" s="7" t="s">
        <v>77</v>
      </c>
      <c r="B89" s="15">
        <v>35414</v>
      </c>
      <c r="C89" s="10">
        <v>6614</v>
      </c>
      <c r="D89" s="9">
        <f t="shared" si="8"/>
        <v>0.29144267207191327</v>
      </c>
      <c r="E89" s="8">
        <v>620</v>
      </c>
      <c r="F89" s="13">
        <v>22694</v>
      </c>
      <c r="G89" s="9">
        <f t="shared" si="9"/>
        <v>0.64082001468345851</v>
      </c>
    </row>
    <row r="90" spans="1:7" s="7" customFormat="1" x14ac:dyDescent="0.25">
      <c r="A90" s="7" t="s">
        <v>78</v>
      </c>
      <c r="B90" s="15">
        <v>3274</v>
      </c>
      <c r="C90" s="8">
        <f>60+83+412+3</f>
        <v>558</v>
      </c>
      <c r="D90" s="9">
        <f t="shared" si="8"/>
        <v>0.24833110814419226</v>
      </c>
      <c r="E90" s="8">
        <v>47</v>
      </c>
      <c r="F90" s="10">
        <v>2247</v>
      </c>
      <c r="G90" s="9">
        <f t="shared" si="9"/>
        <v>0.68631643249847285</v>
      </c>
    </row>
    <row r="91" spans="1:7" s="7" customFormat="1" x14ac:dyDescent="0.25">
      <c r="A91" s="7" t="s">
        <v>79</v>
      </c>
      <c r="B91" s="15">
        <v>293113</v>
      </c>
      <c r="C91" s="16">
        <f>4920+55741+51165+552+63</f>
        <v>112441</v>
      </c>
      <c r="D91" s="9">
        <f t="shared" si="8"/>
        <v>0.57442297671472209</v>
      </c>
      <c r="E91" s="16">
        <v>7286</v>
      </c>
      <c r="F91" s="13">
        <v>195746</v>
      </c>
      <c r="G91" s="9">
        <f t="shared" si="9"/>
        <v>0.66781753112280928</v>
      </c>
    </row>
    <row r="92" spans="1:7" s="7" customFormat="1" x14ac:dyDescent="0.25">
      <c r="A92" s="7" t="s">
        <v>80</v>
      </c>
      <c r="B92" s="15">
        <v>10495</v>
      </c>
      <c r="C92" s="10">
        <f>96+102+1727+15</f>
        <v>1940</v>
      </c>
      <c r="D92" s="9">
        <f t="shared" si="8"/>
        <v>0.37178995783825219</v>
      </c>
      <c r="E92" s="8">
        <v>386</v>
      </c>
      <c r="F92" s="10">
        <v>5218</v>
      </c>
      <c r="G92" s="9">
        <f t="shared" si="9"/>
        <v>0.4971891376846117</v>
      </c>
    </row>
    <row r="93" spans="1:7" s="7" customFormat="1" x14ac:dyDescent="0.25">
      <c r="A93" s="7" t="s">
        <v>81</v>
      </c>
      <c r="B93" s="15">
        <v>109731</v>
      </c>
      <c r="C93" s="10">
        <f>2328+4859+15204+232+6</f>
        <v>22629</v>
      </c>
      <c r="D93" s="9">
        <f t="shared" si="8"/>
        <v>0.2887972841901067</v>
      </c>
      <c r="E93" s="10">
        <v>2156</v>
      </c>
      <c r="F93" s="10">
        <v>78356</v>
      </c>
      <c r="G93" s="9">
        <f t="shared" si="9"/>
        <v>0.71407350703082995</v>
      </c>
    </row>
    <row r="94" spans="1:7" s="7" customFormat="1" x14ac:dyDescent="0.25">
      <c r="A94" s="7" t="s">
        <v>82</v>
      </c>
      <c r="B94" s="15">
        <v>1835</v>
      </c>
      <c r="C94" s="8">
        <f>21+118+140</f>
        <v>279</v>
      </c>
      <c r="D94" s="9">
        <f t="shared" si="8"/>
        <v>0.19731258840169733</v>
      </c>
      <c r="E94" s="8">
        <v>28</v>
      </c>
      <c r="F94" s="10">
        <v>1414</v>
      </c>
      <c r="G94" s="9">
        <f t="shared" si="9"/>
        <v>0.77057220708446872</v>
      </c>
    </row>
    <row r="95" spans="1:7" s="2" customFormat="1" x14ac:dyDescent="0.25">
      <c r="A95" s="2" t="s">
        <v>96</v>
      </c>
      <c r="B95" s="2" t="s">
        <v>97</v>
      </c>
      <c r="C95" s="2" t="s">
        <v>99</v>
      </c>
      <c r="D95" s="2" t="s">
        <v>100</v>
      </c>
      <c r="E95" s="2" t="s">
        <v>102</v>
      </c>
      <c r="F95" s="2" t="s">
        <v>104</v>
      </c>
      <c r="G95" s="2" t="s">
        <v>100</v>
      </c>
    </row>
    <row r="96" spans="1:7" s="2" customFormat="1" x14ac:dyDescent="0.25">
      <c r="A96" s="1"/>
      <c r="B96" s="2" t="s">
        <v>98</v>
      </c>
      <c r="C96" s="2" t="s">
        <v>98</v>
      </c>
      <c r="D96" s="2" t="s">
        <v>101</v>
      </c>
      <c r="E96" s="2" t="s">
        <v>103</v>
      </c>
      <c r="F96" s="2" t="s">
        <v>105</v>
      </c>
      <c r="G96" s="2" t="s">
        <v>106</v>
      </c>
    </row>
    <row r="97" spans="1:7" s="7" customFormat="1" x14ac:dyDescent="0.25">
      <c r="A97" s="7" t="s">
        <v>83</v>
      </c>
      <c r="B97" s="15">
        <v>3870</v>
      </c>
      <c r="C97" s="8">
        <f>85+107+778</f>
        <v>970</v>
      </c>
      <c r="D97" s="9">
        <f t="shared" si="8"/>
        <v>0.36275243081525804</v>
      </c>
      <c r="E97" s="8">
        <v>76</v>
      </c>
      <c r="F97" s="13">
        <v>2674</v>
      </c>
      <c r="G97" s="9">
        <f t="shared" si="9"/>
        <v>0.6909560723514212</v>
      </c>
    </row>
    <row r="98" spans="1:7" s="7" customFormat="1" x14ac:dyDescent="0.25">
      <c r="A98" s="7" t="s">
        <v>84</v>
      </c>
      <c r="B98" s="15">
        <v>2897</v>
      </c>
      <c r="C98" s="8">
        <f>45+120+230+2</f>
        <v>397</v>
      </c>
      <c r="D98" s="9">
        <f t="shared" si="8"/>
        <v>0.1880625296068214</v>
      </c>
      <c r="E98" s="8">
        <v>51</v>
      </c>
      <c r="F98" s="10">
        <v>2111</v>
      </c>
      <c r="G98" s="9">
        <f t="shared" si="9"/>
        <v>0.72868484639282016</v>
      </c>
    </row>
    <row r="99" spans="1:7" s="7" customFormat="1" x14ac:dyDescent="0.25">
      <c r="A99" s="7" t="s">
        <v>85</v>
      </c>
      <c r="B99" s="15">
        <v>2666</v>
      </c>
      <c r="C99" s="8">
        <f>90+224+285+2</f>
        <v>601</v>
      </c>
      <c r="D99" s="9">
        <f>C99/F99</f>
        <v>0.30836326321190355</v>
      </c>
      <c r="E99" s="8">
        <v>17</v>
      </c>
      <c r="F99" s="13">
        <v>1949</v>
      </c>
      <c r="G99" s="9">
        <f>F99/B99</f>
        <v>0.73105776444111026</v>
      </c>
    </row>
    <row r="100" spans="1:7" s="7" customFormat="1" x14ac:dyDescent="0.25">
      <c r="A100" s="7" t="s">
        <v>86</v>
      </c>
      <c r="B100" s="15">
        <v>1216</v>
      </c>
      <c r="C100" s="8">
        <f>19+42+91+1</f>
        <v>153</v>
      </c>
      <c r="D100" s="9">
        <f>C100/F100</f>
        <v>0.18982630272952852</v>
      </c>
      <c r="E100" s="8">
        <v>38</v>
      </c>
      <c r="F100" s="14">
        <v>806</v>
      </c>
      <c r="G100" s="9">
        <f>F100/B100</f>
        <v>0.66282894736842102</v>
      </c>
    </row>
    <row r="101" spans="1:7" s="7" customFormat="1" x14ac:dyDescent="0.25">
      <c r="A101" s="7" t="s">
        <v>108</v>
      </c>
      <c r="B101" s="15">
        <v>2986</v>
      </c>
      <c r="C101" s="8">
        <f>20+92+267+2</f>
        <v>381</v>
      </c>
      <c r="D101" s="9">
        <f>C101/F101</f>
        <v>0.19812792511700469</v>
      </c>
      <c r="E101" s="8">
        <v>48</v>
      </c>
      <c r="F101" s="13">
        <v>1923</v>
      </c>
      <c r="G101" s="9">
        <f>F101/B101</f>
        <v>0.64400535833891492</v>
      </c>
    </row>
    <row r="102" spans="1:7" s="7" customFormat="1" x14ac:dyDescent="0.25">
      <c r="A102" s="7" t="s">
        <v>87</v>
      </c>
      <c r="B102" s="15">
        <v>16482</v>
      </c>
      <c r="C102" s="10">
        <f>74+1045+934+21+6</f>
        <v>2080</v>
      </c>
      <c r="D102" s="9">
        <f t="shared" ref="D102:D111" si="10">C102/F102</f>
        <v>0.20812487492495496</v>
      </c>
      <c r="E102" s="8">
        <v>334</v>
      </c>
      <c r="F102" s="13">
        <v>9994</v>
      </c>
      <c r="G102" s="9">
        <f t="shared" ref="G102:G111" si="11">F102/B102</f>
        <v>0.60635845164421798</v>
      </c>
    </row>
    <row r="103" spans="1:7" s="7" customFormat="1" x14ac:dyDescent="0.25">
      <c r="A103" s="7" t="s">
        <v>88</v>
      </c>
      <c r="B103" s="15">
        <v>4600</v>
      </c>
      <c r="C103" s="10">
        <v>1654</v>
      </c>
      <c r="D103" s="9">
        <f t="shared" si="10"/>
        <v>0.44642375168690956</v>
      </c>
      <c r="E103" s="8">
        <v>152</v>
      </c>
      <c r="F103" s="10">
        <v>3705</v>
      </c>
      <c r="G103" s="9">
        <f t="shared" si="11"/>
        <v>0.80543478260869561</v>
      </c>
    </row>
    <row r="104" spans="1:7" s="7" customFormat="1" x14ac:dyDescent="0.25">
      <c r="A104" s="7" t="s">
        <v>89</v>
      </c>
      <c r="B104" s="15">
        <v>2181</v>
      </c>
      <c r="C104" s="8">
        <f>31+110+303+2</f>
        <v>446</v>
      </c>
      <c r="D104" s="9">
        <f t="shared" si="10"/>
        <v>0.29303547963206306</v>
      </c>
      <c r="E104" s="8">
        <v>32</v>
      </c>
      <c r="F104" s="10">
        <v>1522</v>
      </c>
      <c r="G104" s="9">
        <f t="shared" si="11"/>
        <v>0.69784502521779002</v>
      </c>
    </row>
    <row r="105" spans="1:7" s="7" customFormat="1" x14ac:dyDescent="0.25">
      <c r="A105" s="7" t="s">
        <v>90</v>
      </c>
      <c r="B105" s="15">
        <v>4775</v>
      </c>
      <c r="C105" s="8">
        <f>23+379+283+6</f>
        <v>691</v>
      </c>
      <c r="D105" s="9">
        <f t="shared" si="10"/>
        <v>0.19709070165430689</v>
      </c>
      <c r="E105" s="8">
        <v>70</v>
      </c>
      <c r="F105" s="13">
        <v>3506</v>
      </c>
      <c r="G105" s="9">
        <f t="shared" si="11"/>
        <v>0.73424083769633508</v>
      </c>
    </row>
    <row r="106" spans="1:7" s="7" customFormat="1" x14ac:dyDescent="0.25">
      <c r="A106" s="7" t="s">
        <v>91</v>
      </c>
      <c r="B106" s="15">
        <v>1054</v>
      </c>
      <c r="C106" s="8">
        <f>15+64+177+2</f>
        <v>258</v>
      </c>
      <c r="D106" s="9">
        <f t="shared" si="10"/>
        <v>0.31234866828087166</v>
      </c>
      <c r="E106" s="8">
        <v>15</v>
      </c>
      <c r="F106" s="14">
        <v>826</v>
      </c>
      <c r="G106" s="9">
        <f t="shared" si="11"/>
        <v>0.78368121442125238</v>
      </c>
    </row>
    <row r="107" spans="1:7" s="7" customFormat="1" x14ac:dyDescent="0.25">
      <c r="A107" s="7" t="s">
        <v>92</v>
      </c>
      <c r="B107" s="15">
        <v>3347</v>
      </c>
      <c r="C107" s="8">
        <f>150+221+378+3</f>
        <v>752</v>
      </c>
      <c r="D107" s="9">
        <f t="shared" si="10"/>
        <v>0.26647767540751238</v>
      </c>
      <c r="E107" s="8">
        <v>87</v>
      </c>
      <c r="F107" s="13">
        <v>2822</v>
      </c>
      <c r="G107" s="9">
        <f t="shared" si="11"/>
        <v>0.84314311323573354</v>
      </c>
    </row>
    <row r="108" spans="1:7" s="7" customFormat="1" x14ac:dyDescent="0.25">
      <c r="A108" s="7" t="s">
        <v>93</v>
      </c>
      <c r="B108" s="15">
        <v>1366</v>
      </c>
      <c r="C108" s="8">
        <v>206</v>
      </c>
      <c r="D108" s="9">
        <f t="shared" si="10"/>
        <v>0.21215242018537589</v>
      </c>
      <c r="E108" s="8">
        <v>13</v>
      </c>
      <c r="F108" s="14">
        <v>971</v>
      </c>
      <c r="G108" s="9">
        <f t="shared" si="11"/>
        <v>0.71083455344070279</v>
      </c>
    </row>
    <row r="109" spans="1:7" s="7" customFormat="1" x14ac:dyDescent="0.25">
      <c r="A109" s="7" t="s">
        <v>94</v>
      </c>
      <c r="B109" s="15">
        <v>4943</v>
      </c>
      <c r="C109" s="10">
        <f>206+118+693+4</f>
        <v>1021</v>
      </c>
      <c r="D109" s="9">
        <f t="shared" si="10"/>
        <v>0.27497980070024242</v>
      </c>
      <c r="E109" s="8">
        <v>110</v>
      </c>
      <c r="F109" s="10">
        <v>3713</v>
      </c>
      <c r="G109" s="9">
        <f t="shared" si="11"/>
        <v>0.7511632611774226</v>
      </c>
    </row>
    <row r="110" spans="1:7" s="18" customFormat="1" x14ac:dyDescent="0.25">
      <c r="A110" s="18" t="s">
        <v>107</v>
      </c>
      <c r="B110" s="19">
        <v>2246</v>
      </c>
      <c r="C110" s="14">
        <f>22+102+210+1</f>
        <v>335</v>
      </c>
      <c r="D110" s="20">
        <f t="shared" si="10"/>
        <v>0.22468142186452045</v>
      </c>
      <c r="E110" s="14">
        <v>40</v>
      </c>
      <c r="F110" s="13">
        <v>1491</v>
      </c>
      <c r="G110" s="20">
        <f t="shared" si="11"/>
        <v>0.66384683882457707</v>
      </c>
    </row>
    <row r="111" spans="1:7" s="7" customFormat="1" x14ac:dyDescent="0.25">
      <c r="A111" s="7" t="s">
        <v>95</v>
      </c>
      <c r="B111" s="15">
        <v>79625</v>
      </c>
      <c r="C111" s="10">
        <f>1355+10523+13078+71+6</f>
        <v>25033</v>
      </c>
      <c r="D111" s="9">
        <f t="shared" si="10"/>
        <v>0.49772343175265932</v>
      </c>
      <c r="E111" s="10">
        <v>1960</v>
      </c>
      <c r="F111" s="10">
        <v>50295</v>
      </c>
      <c r="G111" s="9">
        <f t="shared" si="11"/>
        <v>0.63164835164835165</v>
      </c>
    </row>
    <row r="112" spans="1:7" x14ac:dyDescent="0.25">
      <c r="A112" s="11"/>
      <c r="B112" s="4"/>
    </row>
    <row r="113" spans="1:7" x14ac:dyDescent="0.25">
      <c r="A113" s="12" t="s">
        <v>1</v>
      </c>
      <c r="B113" s="4">
        <f>SUM(B3:B111)</f>
        <v>1817920</v>
      </c>
      <c r="C113" s="4">
        <f>SUM(C3:C111)</f>
        <v>521617</v>
      </c>
      <c r="D113" s="6">
        <f>C113/F113</f>
        <v>0.42557807300025213</v>
      </c>
      <c r="E113" s="4">
        <f>SUM(E3:E111)</f>
        <v>40872</v>
      </c>
      <c r="F113" s="4">
        <f>SUM(F3:F111)</f>
        <v>1225667</v>
      </c>
      <c r="G113" s="6">
        <f>F113/B113</f>
        <v>0.67421393680690023</v>
      </c>
    </row>
  </sheetData>
  <pageMargins left="0.45" right="0.45" top="0.75" bottom="0.75" header="0.3" footer="0.3"/>
  <pageSetup orientation="portrait" r:id="rId1"/>
  <headerFooter>
    <oddHeader>&amp;C&amp;"Times New Roman,Bold"&amp;10OFFICE OF THE KANSAS SECRETARY OF STATE
&amp;"Calibri,Regular"&amp;12 2016 GENERAL ELECTION - OFFICIAL TURNOUT INFORMATION&amp;R&amp;"-,Italic"&amp;8REV. 01.05.2017 BAC</oddHeader>
  </headerFooter>
  <ignoredErrors>
    <ignoredError sqref="D1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Kansas Secretary of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 S. Huang</dc:creator>
  <cp:lastModifiedBy>Bryan A. Caskey</cp:lastModifiedBy>
  <cp:lastPrinted>2017-01-05T15:52:32Z</cp:lastPrinted>
  <dcterms:created xsi:type="dcterms:W3CDTF">2016-07-26T15:58:16Z</dcterms:created>
  <dcterms:modified xsi:type="dcterms:W3CDTF">2017-01-05T15:55:42Z</dcterms:modified>
</cp:coreProperties>
</file>