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July" sheetId="1" r:id="rId1"/>
  </sheets>
  <definedNames/>
  <calcPr fullCalcOnLoad="1"/>
</workbook>
</file>

<file path=xl/sharedStrings.xml><?xml version="1.0" encoding="utf-8"?>
<sst xmlns="http://schemas.openxmlformats.org/spreadsheetml/2006/main" count="145" uniqueCount="116">
  <si>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</si>
  <si>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</si>
  <si>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</si>
  <si>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</si>
  <si>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</si>
  <si>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</si>
  <si>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</si>
  <si>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</si>
  <si>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</si>
  <si>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</si>
  <si>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</si>
  <si>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</si>
  <si>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</si>
  <si>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</si>
  <si>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</si>
  <si>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</si>
  <si>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</si>
  <si>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</si>
  <si>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</si>
  <si>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</si>
  <si>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</si>
  <si>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</si>
  <si>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</si>
  <si>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</si>
  <si>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</si>
  <si>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</si>
  <si>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</si>
  <si>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</si>
  <si>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</si>
  <si>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</si>
  <si>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</si>
  <si>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</si>
  <si>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</si>
  <si>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</si>
  <si>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</si>
  <si>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</si>
  <si>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</si>
  <si>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</si>
  <si>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</si>
  <si>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</si>
  <si>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</si>
  <si>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</si>
  <si>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</si>
  <si>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</si>
  <si>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</si>
  <si>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</si>
  <si>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</si>
  <si>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</si>
  <si>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</si>
  <si>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</si>
  <si>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</si>
  <si>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</si>
  <si>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</si>
  <si>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</si>
  <si>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</si>
  <si>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</si>
  <si>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</si>
  <si>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</si>
  <si>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</si>
  <si>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</si>
  <si>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</si>
  <si>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</si>
  <si>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</si>
  <si>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</si>
  <si>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</si>
  <si>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</si>
  <si>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</si>
  <si>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</si>
  <si>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</si>
  <si>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</si>
  <si>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</si>
  <si>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</si>
  <si>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</si>
  <si>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</si>
  <si>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</si>
  <si>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</si>
  <si>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</si>
  <si>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</si>
  <si>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</si>
  <si>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</si>
  <si>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</si>
  <si>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</si>
  <si>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</si>
  <si>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</si>
  <si>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</si>
  <si>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</si>
  <si>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</si>
  <si>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</si>
  <si>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</si>
  <si>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</si>
  <si>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</si>
  <si>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</si>
  <si>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</si>
  <si>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</si>
  <si>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</si>
  <si>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</si>
  <si>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</si>
  <si>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</si>
  <si>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</si>
  <si>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</si>
  <si>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</si>
  <si>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</si>
  <si>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</si>
  <si>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</si>
  <si>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</si>
  <si>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</si>
  <si>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ADVANCE</t>
  </si>
  <si>
    <t>PROVISIONAL</t>
  </si>
  <si>
    <t>TOTAL</t>
  </si>
  <si>
    <t>COUNTY</t>
  </si>
  <si>
    <t>VOTES</t>
  </si>
  <si>
    <t>VOTES CAST</t>
  </si>
  <si>
    <t>BALLOTS CAST</t>
  </si>
  <si>
    <t>REGISTERED</t>
  </si>
  <si>
    <t>VOTERS</t>
  </si>
  <si>
    <t>PERCENT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</si>
</sst>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15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0" fontId="3" fillId="0" borderId="0" xfId="19" applyNumberFormat="1" applyFont="1" applyFill="1" applyAlignment="1">
      <alignment horizontal="center"/>
    </xf>
    <xf numFmtId="3" fontId="2" fillId="0" borderId="0" xfId="15" applyNumberFormat="1" applyFont="1" applyFill="1" applyAlignment="1">
      <alignment horizontal="center"/>
    </xf>
    <xf numFmtId="10" fontId="2" fillId="0" borderId="0" xfId="19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">
      <selection activeCell="C119" sqref="C119"/>
    </sheetView>
  </sheetViews>
  <sheetFormatPr defaultColWidth="9.140625" defaultRowHeight="12.75"/>
  <cols>
    <col min="1" max="1" width="11.28125" style="1" bestFit="1" customWidth="1"/>
    <col min="2" max="2" width="12.00390625" style="3" bestFit="1" customWidth="1"/>
    <col min="3" max="3" width="9.7109375" style="3" bestFit="1" customWidth="1"/>
    <col min="4" max="4" width="9.140625" style="3" bestFit="1" customWidth="1"/>
    <col min="5" max="5" width="12.28125" style="3" bestFit="1" customWidth="1"/>
    <col min="6" max="6" width="12.00390625" style="3" bestFit="1" customWidth="1"/>
    <col min="7" max="7" width="15.00390625" style="3" bestFit="1" customWidth="1"/>
    <col min="8" max="16384" width="9.140625" style="1" customWidth="1"/>
  </cols>
  <sheetData>
    <row r="1" spans="1:7" s="7" customFormat="1" ht="12.75">
      <c r="A1" s="14"/>
      <c r="B1" s="9"/>
      <c r="C1" s="9"/>
      <c r="D1" s="9"/>
      <c r="E1" s="9"/>
      <c r="F1" s="9"/>
      <c r="G1" s="9"/>
    </row>
    <row r="2" spans="1:7" s="7" customFormat="1" ht="12.75">
      <c r="A2" s="12" t="s">
        <v>109</v>
      </c>
      <c r="B2" s="13" t="s">
        <v>113</v>
      </c>
      <c r="C2" s="13" t="s">
        <v>106</v>
      </c>
      <c r="D2" s="13" t="s">
        <v>115</v>
      </c>
      <c r="E2" s="13" t="s">
        <v>108</v>
      </c>
      <c r="F2" s="13" t="s">
        <v>115</v>
      </c>
      <c r="G2" s="13" t="s">
        <v>107</v>
      </c>
    </row>
    <row r="3" spans="2:7" s="12" customFormat="1" ht="12.75">
      <c r="B3" s="13" t="s">
        <v>114</v>
      </c>
      <c r="C3" s="13" t="s">
        <v>110</v>
      </c>
      <c r="D3" s="13" t="s">
        <v>110</v>
      </c>
      <c r="E3" s="13" t="s">
        <v>111</v>
      </c>
      <c r="F3" s="13" t="s">
        <v>113</v>
      </c>
      <c r="G3" s="13" t="s">
        <v>112</v>
      </c>
    </row>
    <row r="4" spans="1:7" s="7" customFormat="1" ht="12.75">
      <c r="A4" s="12"/>
      <c r="B4" s="13"/>
      <c r="C4" s="9"/>
      <c r="D4" s="9"/>
      <c r="E4" s="9"/>
      <c r="F4" s="9"/>
      <c r="G4" s="9"/>
    </row>
    <row r="5" spans="1:7" s="7" customFormat="1" ht="12.75">
      <c r="A5" s="7" t="s">
        <v>0</v>
      </c>
      <c r="B5" s="8">
        <v>8059</v>
      </c>
      <c r="C5" s="18">
        <f>115+68+126+6</f>
        <v>315</v>
      </c>
      <c r="D5" s="15">
        <f>C5/E5</f>
        <v>0.13427109974424553</v>
      </c>
      <c r="E5" s="18">
        <v>2346</v>
      </c>
      <c r="F5" s="15">
        <f aca="true" t="shared" si="0" ref="F5:F52">E5/B5</f>
        <v>0.29110311453033877</v>
      </c>
      <c r="G5" s="18">
        <v>44</v>
      </c>
    </row>
    <row r="6" spans="1:7" s="7" customFormat="1" ht="12.75">
      <c r="A6" s="7" t="s">
        <v>1</v>
      </c>
      <c r="B6" s="8">
        <v>5443</v>
      </c>
      <c r="C6" s="18">
        <f>33+24+69+0</f>
        <v>126</v>
      </c>
      <c r="D6" s="15">
        <f aca="true" t="shared" si="1" ref="D6:D73">C6/E6</f>
        <v>0.10796915167095116</v>
      </c>
      <c r="E6" s="18">
        <v>1167</v>
      </c>
      <c r="F6" s="15">
        <f t="shared" si="0"/>
        <v>0.21440382142200992</v>
      </c>
      <c r="G6" s="18">
        <v>17</v>
      </c>
    </row>
    <row r="7" spans="1:7" s="7" customFormat="1" ht="12.75">
      <c r="A7" s="7" t="s">
        <v>2</v>
      </c>
      <c r="B7" s="8">
        <v>10228</v>
      </c>
      <c r="C7" s="18">
        <f>78+39+187+3</f>
        <v>307</v>
      </c>
      <c r="D7" s="15">
        <f t="shared" si="1"/>
        <v>0.11480927449513836</v>
      </c>
      <c r="E7" s="18">
        <v>2674</v>
      </c>
      <c r="F7" s="15">
        <f t="shared" si="0"/>
        <v>0.2614391865467345</v>
      </c>
      <c r="G7" s="18">
        <v>39</v>
      </c>
    </row>
    <row r="8" spans="1:7" s="7" customFormat="1" ht="12.75">
      <c r="A8" s="7" t="s">
        <v>3</v>
      </c>
      <c r="B8" s="8">
        <v>3524</v>
      </c>
      <c r="C8" s="18">
        <f>20+19+50</f>
        <v>89</v>
      </c>
      <c r="D8" s="15">
        <f t="shared" si="1"/>
        <v>0.15344827586206897</v>
      </c>
      <c r="E8" s="18">
        <v>580</v>
      </c>
      <c r="F8" s="15">
        <f t="shared" si="0"/>
        <v>0.16458569807037457</v>
      </c>
      <c r="G8" s="18">
        <v>6</v>
      </c>
    </row>
    <row r="9" spans="1:7" s="7" customFormat="1" ht="12.75">
      <c r="A9" s="7" t="s">
        <v>4</v>
      </c>
      <c r="B9" s="8">
        <v>16278</v>
      </c>
      <c r="C9" s="18">
        <f>186+105+399+4</f>
        <v>694</v>
      </c>
      <c r="D9" s="15">
        <f t="shared" si="1"/>
        <v>0.20716417910447762</v>
      </c>
      <c r="E9" s="18">
        <v>3350</v>
      </c>
      <c r="F9" s="15">
        <f t="shared" si="0"/>
        <v>0.2057992382356555</v>
      </c>
      <c r="G9" s="18">
        <v>44</v>
      </c>
    </row>
    <row r="10" spans="1:7" s="7" customFormat="1" ht="12.75">
      <c r="A10" s="7" t="s">
        <v>5</v>
      </c>
      <c r="B10" s="8">
        <v>9861</v>
      </c>
      <c r="C10" s="18">
        <f>189+66+260+6</f>
        <v>521</v>
      </c>
      <c r="D10" s="15">
        <f t="shared" si="1"/>
        <v>0.17661016949152541</v>
      </c>
      <c r="E10" s="18">
        <v>2950</v>
      </c>
      <c r="F10" s="15">
        <f t="shared" si="0"/>
        <v>0.2991583003752155</v>
      </c>
      <c r="G10" s="18">
        <v>95</v>
      </c>
    </row>
    <row r="11" spans="1:7" s="7" customFormat="1" ht="12.75">
      <c r="A11" s="7" t="s">
        <v>6</v>
      </c>
      <c r="B11" s="8">
        <v>6279</v>
      </c>
      <c r="C11" s="18">
        <f>22+161+179+2</f>
        <v>364</v>
      </c>
      <c r="D11" s="15">
        <f t="shared" si="1"/>
        <v>0.15522388059701492</v>
      </c>
      <c r="E11" s="18">
        <v>2345</v>
      </c>
      <c r="F11" s="15">
        <f t="shared" si="0"/>
        <v>0.3734671125975474</v>
      </c>
      <c r="G11" s="18">
        <v>66</v>
      </c>
    </row>
    <row r="12" spans="1:7" s="7" customFormat="1" ht="12.75">
      <c r="A12" s="7" t="s">
        <v>7</v>
      </c>
      <c r="B12" s="8">
        <v>37797</v>
      </c>
      <c r="C12" s="18">
        <f>241+354+231+15</f>
        <v>841</v>
      </c>
      <c r="D12" s="15">
        <f t="shared" si="1"/>
        <v>0.10585273757079924</v>
      </c>
      <c r="E12" s="18">
        <v>7945</v>
      </c>
      <c r="F12" s="15">
        <f t="shared" si="0"/>
        <v>0.21020186787311163</v>
      </c>
      <c r="G12" s="18">
        <v>193</v>
      </c>
    </row>
    <row r="13" spans="1:7" s="7" customFormat="1" ht="12.75">
      <c r="A13" s="7" t="s">
        <v>8</v>
      </c>
      <c r="B13" s="8">
        <v>1929</v>
      </c>
      <c r="C13" s="18">
        <f>36+89+95+2</f>
        <v>222</v>
      </c>
      <c r="D13" s="15">
        <f t="shared" si="1"/>
        <v>0.26811594202898553</v>
      </c>
      <c r="E13" s="18">
        <v>828</v>
      </c>
      <c r="F13" s="15">
        <f t="shared" si="0"/>
        <v>0.42923794712286156</v>
      </c>
      <c r="G13" s="18">
        <v>25</v>
      </c>
    </row>
    <row r="14" spans="1:7" s="7" customFormat="1" ht="12.75">
      <c r="A14" s="7" t="s">
        <v>9</v>
      </c>
      <c r="B14" s="8">
        <v>2814</v>
      </c>
      <c r="C14" s="18">
        <f>67+31+68+1</f>
        <v>167</v>
      </c>
      <c r="D14" s="15">
        <f t="shared" si="1"/>
        <v>0.15904761904761905</v>
      </c>
      <c r="E14" s="18">
        <v>1050</v>
      </c>
      <c r="F14" s="15">
        <f t="shared" si="0"/>
        <v>0.373134328358209</v>
      </c>
      <c r="G14" s="18">
        <v>35</v>
      </c>
    </row>
    <row r="15" spans="1:7" s="7" customFormat="1" ht="12.75">
      <c r="A15" s="7" t="s">
        <v>10</v>
      </c>
      <c r="B15" s="8">
        <v>16294</v>
      </c>
      <c r="C15" s="18">
        <f>344+140+74+3</f>
        <v>561</v>
      </c>
      <c r="D15" s="15">
        <f t="shared" si="1"/>
        <v>0.1303741575644899</v>
      </c>
      <c r="E15" s="18">
        <v>4303</v>
      </c>
      <c r="F15" s="15">
        <f t="shared" si="0"/>
        <v>0.26408493924143855</v>
      </c>
      <c r="G15" s="18">
        <v>30</v>
      </c>
    </row>
    <row r="16" spans="1:7" s="7" customFormat="1" ht="12.75">
      <c r="A16" s="7" t="s">
        <v>11</v>
      </c>
      <c r="B16" s="8">
        <v>1978</v>
      </c>
      <c r="C16" s="18">
        <f>12+25+149</f>
        <v>186</v>
      </c>
      <c r="D16" s="15">
        <f t="shared" si="1"/>
        <v>0.19435736677115986</v>
      </c>
      <c r="E16" s="18">
        <v>957</v>
      </c>
      <c r="F16" s="15">
        <f t="shared" si="0"/>
        <v>0.4838220424671385</v>
      </c>
      <c r="G16" s="18">
        <v>2</v>
      </c>
    </row>
    <row r="17" spans="1:7" s="7" customFormat="1" ht="12.75">
      <c r="A17" s="7" t="s">
        <v>12</v>
      </c>
      <c r="B17" s="8">
        <v>1543</v>
      </c>
      <c r="C17" s="18">
        <f>33+35+47</f>
        <v>115</v>
      </c>
      <c r="D17" s="15">
        <f t="shared" si="1"/>
        <v>0.19759450171821305</v>
      </c>
      <c r="E17" s="18">
        <v>582</v>
      </c>
      <c r="F17" s="15">
        <f t="shared" si="0"/>
        <v>0.3771872974724563</v>
      </c>
      <c r="G17" s="18">
        <v>13</v>
      </c>
    </row>
    <row r="18" spans="1:7" s="7" customFormat="1" ht="12.75">
      <c r="A18" s="7" t="s">
        <v>13</v>
      </c>
      <c r="B18" s="8">
        <v>6085</v>
      </c>
      <c r="C18" s="18">
        <f>102+79+331+6</f>
        <v>518</v>
      </c>
      <c r="D18" s="15">
        <f t="shared" si="1"/>
        <v>0.24796553374820487</v>
      </c>
      <c r="E18" s="18">
        <v>2089</v>
      </c>
      <c r="F18" s="15">
        <f t="shared" si="0"/>
        <v>0.34330320460147906</v>
      </c>
      <c r="G18" s="18">
        <v>33</v>
      </c>
    </row>
    <row r="19" spans="1:7" s="7" customFormat="1" ht="12.75">
      <c r="A19" s="7" t="s">
        <v>14</v>
      </c>
      <c r="B19" s="8">
        <v>6288</v>
      </c>
      <c r="C19" s="18">
        <f>86+55+155+2</f>
        <v>298</v>
      </c>
      <c r="D19" s="15">
        <f t="shared" si="1"/>
        <v>0.12751390671801455</v>
      </c>
      <c r="E19" s="18">
        <v>2337</v>
      </c>
      <c r="F19" s="15">
        <f t="shared" si="0"/>
        <v>0.37166030534351147</v>
      </c>
      <c r="G19" s="18">
        <v>24</v>
      </c>
    </row>
    <row r="20" spans="1:7" s="7" customFormat="1" ht="12.75">
      <c r="A20" s="7" t="s">
        <v>15</v>
      </c>
      <c r="B20" s="8">
        <v>5939</v>
      </c>
      <c r="C20" s="18">
        <f>52+68+185+4</f>
        <v>309</v>
      </c>
      <c r="D20" s="15">
        <f t="shared" si="1"/>
        <v>0.1522167487684729</v>
      </c>
      <c r="E20" s="18">
        <v>2030</v>
      </c>
      <c r="F20" s="15">
        <f t="shared" si="0"/>
        <v>0.3418083852500421</v>
      </c>
      <c r="G20" s="18">
        <v>19</v>
      </c>
    </row>
    <row r="21" spans="1:7" s="7" customFormat="1" ht="12.75">
      <c r="A21" s="7" t="s">
        <v>16</v>
      </c>
      <c r="B21" s="8">
        <v>1217</v>
      </c>
      <c r="C21" s="18">
        <f>5+10+24</f>
        <v>39</v>
      </c>
      <c r="D21" s="15">
        <f t="shared" si="1"/>
        <v>0.06393442622950819</v>
      </c>
      <c r="E21" s="18">
        <v>610</v>
      </c>
      <c r="F21" s="15">
        <f t="shared" si="0"/>
        <v>0.5012325390304027</v>
      </c>
      <c r="G21" s="18">
        <v>9</v>
      </c>
    </row>
    <row r="22" spans="1:7" s="7" customFormat="1" ht="12.75">
      <c r="A22" s="7" t="s">
        <v>17</v>
      </c>
      <c r="B22" s="8">
        <v>22751</v>
      </c>
      <c r="C22" s="18">
        <f>244+117+244+4</f>
        <v>609</v>
      </c>
      <c r="D22" s="15">
        <f t="shared" si="1"/>
        <v>0.12788744225115498</v>
      </c>
      <c r="E22" s="18">
        <v>4762</v>
      </c>
      <c r="F22" s="15">
        <f t="shared" si="0"/>
        <v>0.20930948090193838</v>
      </c>
      <c r="G22" s="18">
        <v>90</v>
      </c>
    </row>
    <row r="23" spans="1:7" s="7" customFormat="1" ht="12.75">
      <c r="A23" s="7" t="s">
        <v>18</v>
      </c>
      <c r="B23" s="8">
        <v>24668</v>
      </c>
      <c r="C23" s="18">
        <f>948+252+58</f>
        <v>1258</v>
      </c>
      <c r="D23" s="15">
        <f t="shared" si="1"/>
        <v>0.24876408938105596</v>
      </c>
      <c r="E23" s="18">
        <v>5057</v>
      </c>
      <c r="F23" s="15">
        <f t="shared" si="0"/>
        <v>0.20500243230095672</v>
      </c>
      <c r="G23" s="18">
        <v>74</v>
      </c>
    </row>
    <row r="24" spans="1:7" s="7" customFormat="1" ht="12.75">
      <c r="A24" s="7" t="s">
        <v>19</v>
      </c>
      <c r="B24" s="8">
        <v>1955</v>
      </c>
      <c r="C24" s="18">
        <f>35+37+90+2</f>
        <v>164</v>
      </c>
      <c r="D24" s="15">
        <f t="shared" si="1"/>
        <v>0.23066104078762306</v>
      </c>
      <c r="E24" s="18">
        <v>711</v>
      </c>
      <c r="F24" s="15">
        <f t="shared" si="0"/>
        <v>0.3636828644501279</v>
      </c>
      <c r="G24" s="18">
        <v>0</v>
      </c>
    </row>
    <row r="25" spans="1:7" s="7" customFormat="1" ht="12.75">
      <c r="A25" s="7" t="s">
        <v>20</v>
      </c>
      <c r="B25" s="8">
        <v>12514</v>
      </c>
      <c r="C25" s="18">
        <f>101+122+233+3</f>
        <v>459</v>
      </c>
      <c r="D25" s="15">
        <f t="shared" si="1"/>
        <v>0.12072593371909521</v>
      </c>
      <c r="E25" s="18">
        <v>3802</v>
      </c>
      <c r="F25" s="15">
        <f t="shared" si="0"/>
        <v>0.3038197219114592</v>
      </c>
      <c r="G25" s="18">
        <v>102</v>
      </c>
    </row>
    <row r="26" spans="1:7" s="7" customFormat="1" ht="12.75">
      <c r="A26" s="7" t="s">
        <v>21</v>
      </c>
      <c r="B26" s="8">
        <v>5983</v>
      </c>
      <c r="C26" s="18">
        <f>39+20+30+1</f>
        <v>90</v>
      </c>
      <c r="D26" s="15">
        <f t="shared" si="1"/>
        <v>0.06982156710628394</v>
      </c>
      <c r="E26" s="18">
        <v>1289</v>
      </c>
      <c r="F26" s="15">
        <f t="shared" si="0"/>
        <v>0.2154437573123851</v>
      </c>
      <c r="G26" s="18">
        <v>21</v>
      </c>
    </row>
    <row r="27" spans="1:7" s="7" customFormat="1" ht="12.75">
      <c r="A27" s="7" t="s">
        <v>22</v>
      </c>
      <c r="B27" s="8">
        <v>77209</v>
      </c>
      <c r="C27" s="18">
        <f>305+192+718+26</f>
        <v>1241</v>
      </c>
      <c r="D27" s="15">
        <f t="shared" si="1"/>
        <v>0.11689902034664656</v>
      </c>
      <c r="E27" s="18">
        <v>10616</v>
      </c>
      <c r="F27" s="15">
        <f t="shared" si="0"/>
        <v>0.1374969239337383</v>
      </c>
      <c r="G27" s="18">
        <v>154</v>
      </c>
    </row>
    <row r="28" spans="1:7" s="7" customFormat="1" ht="12.75">
      <c r="A28" s="7" t="s">
        <v>23</v>
      </c>
      <c r="B28" s="8">
        <v>1831</v>
      </c>
      <c r="C28" s="18">
        <f>15+9+13+3</f>
        <v>40</v>
      </c>
      <c r="D28" s="15">
        <f t="shared" si="1"/>
        <v>0.08791208791208792</v>
      </c>
      <c r="E28" s="18">
        <v>455</v>
      </c>
      <c r="F28" s="15">
        <f t="shared" si="0"/>
        <v>0.2484980884762425</v>
      </c>
      <c r="G28" s="18">
        <v>3</v>
      </c>
    </row>
    <row r="29" spans="1:7" s="7" customFormat="1" ht="12.75">
      <c r="A29" s="7" t="s">
        <v>24</v>
      </c>
      <c r="B29" s="8">
        <v>1846</v>
      </c>
      <c r="C29" s="18">
        <f>15+81+79+2</f>
        <v>177</v>
      </c>
      <c r="D29" s="15">
        <f t="shared" si="1"/>
        <v>0.2196029776674938</v>
      </c>
      <c r="E29" s="18">
        <v>806</v>
      </c>
      <c r="F29" s="15">
        <f t="shared" si="0"/>
        <v>0.43661971830985913</v>
      </c>
      <c r="G29" s="18">
        <v>2</v>
      </c>
    </row>
    <row r="30" spans="1:7" s="7" customFormat="1" ht="12.75">
      <c r="A30" s="7" t="s">
        <v>25</v>
      </c>
      <c r="B30" s="8">
        <v>17470</v>
      </c>
      <c r="C30" s="18">
        <f>113+186+741+8</f>
        <v>1048</v>
      </c>
      <c r="D30" s="15">
        <f t="shared" si="1"/>
        <v>0.236782647989155</v>
      </c>
      <c r="E30" s="18">
        <v>4426</v>
      </c>
      <c r="F30" s="15">
        <f t="shared" si="0"/>
        <v>0.25334859759587863</v>
      </c>
      <c r="G30" s="18">
        <v>56</v>
      </c>
    </row>
    <row r="31" spans="1:7" s="7" customFormat="1" ht="12.75">
      <c r="A31" s="7" t="s">
        <v>26</v>
      </c>
      <c r="B31" s="8">
        <v>4187</v>
      </c>
      <c r="C31" s="18">
        <f>28+16+41</f>
        <v>85</v>
      </c>
      <c r="D31" s="15">
        <f t="shared" si="1"/>
        <v>0.11067708333333333</v>
      </c>
      <c r="E31" s="18">
        <v>768</v>
      </c>
      <c r="F31" s="15">
        <f t="shared" si="0"/>
        <v>0.18342488655361835</v>
      </c>
      <c r="G31" s="18">
        <v>13</v>
      </c>
    </row>
    <row r="32" spans="1:7" s="7" customFormat="1" ht="12.75">
      <c r="A32" s="7" t="s">
        <v>27</v>
      </c>
      <c r="B32" s="8">
        <v>13771</v>
      </c>
      <c r="C32" s="18">
        <f>42+121+54+5</f>
        <v>222</v>
      </c>
      <c r="D32" s="15">
        <f t="shared" si="1"/>
        <v>0.12862108922363846</v>
      </c>
      <c r="E32" s="18">
        <v>1726</v>
      </c>
      <c r="F32" s="15">
        <f t="shared" si="0"/>
        <v>0.12533585070074796</v>
      </c>
      <c r="G32" s="18">
        <v>17</v>
      </c>
    </row>
    <row r="33" spans="1:7" s="7" customFormat="1" ht="12.75">
      <c r="A33" s="7" t="s">
        <v>28</v>
      </c>
      <c r="B33" s="8">
        <v>15704</v>
      </c>
      <c r="C33" s="18">
        <f>88+93+234+1</f>
        <v>416</v>
      </c>
      <c r="D33" s="15">
        <f t="shared" si="1"/>
        <v>0.2439882697947214</v>
      </c>
      <c r="E33" s="18">
        <v>1705</v>
      </c>
      <c r="F33" s="15">
        <f t="shared" si="0"/>
        <v>0.10857106469689251</v>
      </c>
      <c r="G33" s="18">
        <v>33</v>
      </c>
    </row>
    <row r="34" spans="1:7" s="7" customFormat="1" ht="12.75">
      <c r="A34" s="7" t="s">
        <v>29</v>
      </c>
      <c r="B34" s="8">
        <v>16456</v>
      </c>
      <c r="C34" s="18">
        <f>141+29+248+5</f>
        <v>423</v>
      </c>
      <c r="D34" s="15">
        <f t="shared" si="1"/>
        <v>0.10882428608181116</v>
      </c>
      <c r="E34" s="18">
        <v>3887</v>
      </c>
      <c r="F34" s="15">
        <f t="shared" si="0"/>
        <v>0.23620563928050559</v>
      </c>
      <c r="G34" s="18">
        <v>85</v>
      </c>
    </row>
    <row r="35" spans="1:7" s="7" customFormat="1" ht="12.75">
      <c r="A35" s="7" t="s">
        <v>30</v>
      </c>
      <c r="B35" s="8">
        <v>13839</v>
      </c>
      <c r="C35" s="18">
        <f>157+31+157+17</f>
        <v>362</v>
      </c>
      <c r="D35" s="15">
        <f t="shared" si="1"/>
        <v>0.1917372881355932</v>
      </c>
      <c r="E35" s="18">
        <v>1888</v>
      </c>
      <c r="F35" s="15">
        <f t="shared" si="0"/>
        <v>0.1364260423441</v>
      </c>
      <c r="G35" s="18">
        <v>46</v>
      </c>
    </row>
    <row r="36" spans="1:7" s="7" customFormat="1" ht="12.75">
      <c r="A36" s="7" t="s">
        <v>31</v>
      </c>
      <c r="B36" s="8">
        <v>1853</v>
      </c>
      <c r="C36" s="18">
        <f>5+20+16</f>
        <v>41</v>
      </c>
      <c r="D36" s="15">
        <f t="shared" si="1"/>
        <v>0.08118811881188119</v>
      </c>
      <c r="E36" s="18">
        <v>505</v>
      </c>
      <c r="F36" s="15">
        <f t="shared" si="0"/>
        <v>0.2725310307609282</v>
      </c>
      <c r="G36" s="18">
        <v>4</v>
      </c>
    </row>
    <row r="37" spans="1:7" s="7" customFormat="1" ht="12.75">
      <c r="A37" s="7" t="s">
        <v>32</v>
      </c>
      <c r="B37" s="8">
        <v>2086</v>
      </c>
      <c r="C37" s="18">
        <f>6+119+88</f>
        <v>213</v>
      </c>
      <c r="D37" s="15">
        <f t="shared" si="1"/>
        <v>0.2886178861788618</v>
      </c>
      <c r="E37" s="18">
        <v>738</v>
      </c>
      <c r="F37" s="15">
        <f t="shared" si="0"/>
        <v>0.3537871524448706</v>
      </c>
      <c r="G37" s="18">
        <v>11</v>
      </c>
    </row>
    <row r="38" spans="1:7" s="7" customFormat="1" ht="12.75">
      <c r="A38" s="7" t="s">
        <v>33</v>
      </c>
      <c r="B38" s="8">
        <v>3884</v>
      </c>
      <c r="C38" s="18">
        <f>46+47+197+1</f>
        <v>291</v>
      </c>
      <c r="D38" s="15">
        <f t="shared" si="1"/>
        <v>0.1970209884901828</v>
      </c>
      <c r="E38" s="18">
        <v>1477</v>
      </c>
      <c r="F38" s="15">
        <f t="shared" si="0"/>
        <v>0.38027806385169927</v>
      </c>
      <c r="G38" s="18">
        <v>48</v>
      </c>
    </row>
    <row r="39" spans="1:7" s="7" customFormat="1" ht="12.75">
      <c r="A39" s="7" t="s">
        <v>34</v>
      </c>
      <c r="B39" s="8">
        <v>2773</v>
      </c>
      <c r="C39" s="18">
        <f>42+140+124</f>
        <v>306</v>
      </c>
      <c r="D39" s="15">
        <f t="shared" si="1"/>
        <v>0.425</v>
      </c>
      <c r="E39" s="18">
        <v>720</v>
      </c>
      <c r="F39" s="15">
        <f t="shared" si="0"/>
        <v>0.2596465921384782</v>
      </c>
      <c r="G39" s="18">
        <v>24</v>
      </c>
    </row>
    <row r="40" spans="1:7" s="7" customFormat="1" ht="12.75">
      <c r="A40" s="7" t="s">
        <v>35</v>
      </c>
      <c r="B40" s="8">
        <v>980</v>
      </c>
      <c r="C40" s="18">
        <f>18+1+65</f>
        <v>84</v>
      </c>
      <c r="D40" s="15">
        <f t="shared" si="1"/>
        <v>0.15412844036697249</v>
      </c>
      <c r="E40" s="18">
        <v>545</v>
      </c>
      <c r="F40" s="15">
        <f t="shared" si="0"/>
        <v>0.5561224489795918</v>
      </c>
      <c r="G40" s="18">
        <v>34</v>
      </c>
    </row>
    <row r="41" spans="1:7" s="7" customFormat="1" ht="12.75">
      <c r="A41" s="7" t="s">
        <v>36</v>
      </c>
      <c r="B41" s="8">
        <v>4983</v>
      </c>
      <c r="C41" s="18">
        <f>20+109+159+3</f>
        <v>291</v>
      </c>
      <c r="D41" s="15">
        <f t="shared" si="1"/>
        <v>0.2402972749793559</v>
      </c>
      <c r="E41" s="18">
        <v>1211</v>
      </c>
      <c r="F41" s="15">
        <f t="shared" si="0"/>
        <v>0.24302628938390528</v>
      </c>
      <c r="G41" s="18">
        <v>22</v>
      </c>
    </row>
    <row r="42" spans="1:7" s="7" customFormat="1" ht="12.75">
      <c r="A42" s="7" t="s">
        <v>37</v>
      </c>
      <c r="B42" s="8">
        <v>1530</v>
      </c>
      <c r="C42" s="18">
        <f>18+64+182</f>
        <v>264</v>
      </c>
      <c r="D42" s="15">
        <f t="shared" si="1"/>
        <v>0.3651452282157676</v>
      </c>
      <c r="E42" s="18">
        <v>723</v>
      </c>
      <c r="F42" s="15">
        <f t="shared" si="0"/>
        <v>0.4725490196078431</v>
      </c>
      <c r="G42" s="18">
        <v>15</v>
      </c>
    </row>
    <row r="43" spans="1:7" s="7" customFormat="1" ht="12.75">
      <c r="A43" s="7" t="s">
        <v>38</v>
      </c>
      <c r="B43" s="8">
        <v>4014</v>
      </c>
      <c r="C43" s="18">
        <f>20+77+63</f>
        <v>160</v>
      </c>
      <c r="D43" s="15">
        <f t="shared" si="1"/>
        <v>0.1067378252168112</v>
      </c>
      <c r="E43" s="18">
        <v>1499</v>
      </c>
      <c r="F43" s="15">
        <f t="shared" si="0"/>
        <v>0.3734429496761335</v>
      </c>
      <c r="G43" s="18">
        <v>39</v>
      </c>
    </row>
    <row r="44" spans="1:7" s="7" customFormat="1" ht="12.75">
      <c r="A44" s="7" t="s">
        <v>39</v>
      </c>
      <c r="B44" s="8">
        <v>20367</v>
      </c>
      <c r="C44" s="18">
        <f>197+87+278+23</f>
        <v>585</v>
      </c>
      <c r="D44" s="15">
        <f t="shared" si="1"/>
        <v>0.11376896149358226</v>
      </c>
      <c r="E44" s="18">
        <v>5142</v>
      </c>
      <c r="F44" s="15">
        <f t="shared" si="0"/>
        <v>0.25246722639564</v>
      </c>
      <c r="G44" s="18">
        <v>101</v>
      </c>
    </row>
    <row r="45" spans="1:7" s="7" customFormat="1" ht="12.75">
      <c r="A45" s="7" t="s">
        <v>40</v>
      </c>
      <c r="B45" s="8">
        <v>2326</v>
      </c>
      <c r="C45" s="18">
        <f>17+56+107</f>
        <v>180</v>
      </c>
      <c r="D45" s="15">
        <f t="shared" si="1"/>
        <v>0.192102454642476</v>
      </c>
      <c r="E45" s="18">
        <v>937</v>
      </c>
      <c r="F45" s="15">
        <f t="shared" si="0"/>
        <v>0.40283748925193463</v>
      </c>
      <c r="G45" s="18">
        <v>24</v>
      </c>
    </row>
    <row r="46" spans="1:7" s="7" customFormat="1" ht="12.75">
      <c r="A46" s="7" t="s">
        <v>41</v>
      </c>
      <c r="B46" s="8">
        <v>1455</v>
      </c>
      <c r="C46" s="18">
        <f>0+14+25</f>
        <v>39</v>
      </c>
      <c r="D46" s="15">
        <f t="shared" si="1"/>
        <v>0.07926829268292683</v>
      </c>
      <c r="E46" s="18">
        <v>492</v>
      </c>
      <c r="F46" s="15">
        <f t="shared" si="0"/>
        <v>0.33814432989690724</v>
      </c>
      <c r="G46" s="18">
        <v>10</v>
      </c>
    </row>
    <row r="47" spans="1:7" s="7" customFormat="1" ht="12.75">
      <c r="A47" s="7" t="s">
        <v>42</v>
      </c>
      <c r="B47" s="8">
        <v>8180</v>
      </c>
      <c r="C47" s="18">
        <f>36+85+190+2</f>
        <v>313</v>
      </c>
      <c r="D47" s="15">
        <f t="shared" si="1"/>
        <v>0.11811320754716981</v>
      </c>
      <c r="E47" s="18">
        <v>2650</v>
      </c>
      <c r="F47" s="15">
        <f t="shared" si="0"/>
        <v>0.32396088019559904</v>
      </c>
      <c r="G47" s="18">
        <v>24</v>
      </c>
    </row>
    <row r="48" spans="1:7" s="7" customFormat="1" ht="12.75">
      <c r="A48" s="7" t="s">
        <v>43</v>
      </c>
      <c r="B48" s="8">
        <v>12718</v>
      </c>
      <c r="C48" s="18">
        <f>26+100+107+2</f>
        <v>235</v>
      </c>
      <c r="D48" s="15">
        <f t="shared" si="1"/>
        <v>0.06932153392330384</v>
      </c>
      <c r="E48" s="18">
        <v>3390</v>
      </c>
      <c r="F48" s="15">
        <f t="shared" si="0"/>
        <v>0.26655134455103</v>
      </c>
      <c r="G48" s="18">
        <v>46</v>
      </c>
    </row>
    <row r="49" spans="1:7" s="7" customFormat="1" ht="12.75">
      <c r="A49" s="7" t="s">
        <v>44</v>
      </c>
      <c r="B49" s="8">
        <v>2408</v>
      </c>
      <c r="C49" s="18">
        <f>21+92+27</f>
        <v>140</v>
      </c>
      <c r="D49" s="15">
        <f t="shared" si="1"/>
        <v>0.18741633199464525</v>
      </c>
      <c r="E49" s="18">
        <v>747</v>
      </c>
      <c r="F49" s="15">
        <f t="shared" si="0"/>
        <v>0.31021594684385384</v>
      </c>
      <c r="G49" s="18">
        <v>14</v>
      </c>
    </row>
    <row r="50" spans="1:7" s="7" customFormat="1" ht="12.75">
      <c r="A50" s="7" t="s">
        <v>45</v>
      </c>
      <c r="B50" s="8">
        <v>342095</v>
      </c>
      <c r="C50" s="18">
        <f>3553+10412+9389+61</f>
        <v>23415</v>
      </c>
      <c r="D50" s="15">
        <f t="shared" si="1"/>
        <v>0.297912134050918</v>
      </c>
      <c r="E50" s="18">
        <v>78597</v>
      </c>
      <c r="F50" s="15">
        <f t="shared" si="0"/>
        <v>0.2297519694821614</v>
      </c>
      <c r="G50" s="18">
        <v>1566</v>
      </c>
    </row>
    <row r="51" spans="1:7" s="7" customFormat="1" ht="12.75">
      <c r="A51" s="7" t="s">
        <v>46</v>
      </c>
      <c r="B51" s="8">
        <v>2141</v>
      </c>
      <c r="C51" s="18">
        <f>6+16+21</f>
        <v>43</v>
      </c>
      <c r="D51" s="15">
        <f t="shared" si="1"/>
        <v>0.12215909090909091</v>
      </c>
      <c r="E51" s="18">
        <v>352</v>
      </c>
      <c r="F51" s="15">
        <f t="shared" si="0"/>
        <v>0.1644091546006539</v>
      </c>
      <c r="G51" s="18">
        <v>5</v>
      </c>
    </row>
    <row r="52" spans="1:7" s="7" customFormat="1" ht="12.75">
      <c r="A52" s="7" t="s">
        <v>47</v>
      </c>
      <c r="B52" s="8">
        <v>5383</v>
      </c>
      <c r="C52" s="18">
        <f>13+39+32</f>
        <v>84</v>
      </c>
      <c r="D52" s="15">
        <f t="shared" si="1"/>
        <v>0.10421836228287841</v>
      </c>
      <c r="E52" s="18">
        <v>806</v>
      </c>
      <c r="F52" s="15">
        <f t="shared" si="0"/>
        <v>0.14973063347575702</v>
      </c>
      <c r="G52" s="18">
        <v>4</v>
      </c>
    </row>
    <row r="53" spans="1:7" s="7" customFormat="1" ht="12.75">
      <c r="A53" s="14"/>
      <c r="B53" s="9"/>
      <c r="C53" s="18"/>
      <c r="D53" s="9"/>
      <c r="E53" s="18"/>
      <c r="F53" s="9"/>
      <c r="G53" s="18"/>
    </row>
    <row r="54" spans="1:7" s="7" customFormat="1" ht="12.75">
      <c r="A54" s="12" t="s">
        <v>109</v>
      </c>
      <c r="B54" s="13" t="s">
        <v>113</v>
      </c>
      <c r="C54" s="19" t="s">
        <v>106</v>
      </c>
      <c r="D54" s="13" t="s">
        <v>115</v>
      </c>
      <c r="E54" s="19" t="s">
        <v>108</v>
      </c>
      <c r="F54" s="13" t="s">
        <v>115</v>
      </c>
      <c r="G54" s="19" t="s">
        <v>107</v>
      </c>
    </row>
    <row r="55" spans="2:7" s="12" customFormat="1" ht="12.75">
      <c r="B55" s="13" t="s">
        <v>114</v>
      </c>
      <c r="C55" s="19" t="s">
        <v>110</v>
      </c>
      <c r="D55" s="13" t="s">
        <v>110</v>
      </c>
      <c r="E55" s="19" t="s">
        <v>111</v>
      </c>
      <c r="F55" s="13" t="s">
        <v>113</v>
      </c>
      <c r="G55" s="19" t="s">
        <v>112</v>
      </c>
    </row>
    <row r="56" spans="1:7" s="7" customFormat="1" ht="12.75">
      <c r="A56" s="12"/>
      <c r="B56" s="13"/>
      <c r="C56" s="18"/>
      <c r="D56" s="9"/>
      <c r="E56" s="18"/>
      <c r="F56" s="9"/>
      <c r="G56" s="18"/>
    </row>
    <row r="57" spans="1:7" s="7" customFormat="1" ht="12.75">
      <c r="A57" s="7" t="s">
        <v>48</v>
      </c>
      <c r="B57" s="8">
        <v>1817</v>
      </c>
      <c r="C57" s="18">
        <v>22</v>
      </c>
      <c r="D57" s="15">
        <f t="shared" si="1"/>
        <v>0.03565640194489465</v>
      </c>
      <c r="E57" s="18">
        <v>617</v>
      </c>
      <c r="F57" s="15">
        <f aca="true" t="shared" si="2" ref="F57:F104">E57/B57</f>
        <v>0.3395707209686296</v>
      </c>
      <c r="G57" s="18">
        <v>8</v>
      </c>
    </row>
    <row r="58" spans="1:7" s="7" customFormat="1" ht="12.75">
      <c r="A58" s="7" t="s">
        <v>49</v>
      </c>
      <c r="B58" s="8">
        <v>15429</v>
      </c>
      <c r="C58" s="18">
        <f>137+70+44+1</f>
        <v>252</v>
      </c>
      <c r="D58" s="15">
        <f t="shared" si="1"/>
        <v>0.07889793362554791</v>
      </c>
      <c r="E58" s="18">
        <v>3194</v>
      </c>
      <c r="F58" s="15">
        <f t="shared" si="2"/>
        <v>0.2070127681638473</v>
      </c>
      <c r="G58" s="18">
        <v>35</v>
      </c>
    </row>
    <row r="59" spans="1:7" s="7" customFormat="1" ht="12.75">
      <c r="A59" s="7" t="s">
        <v>50</v>
      </c>
      <c r="B59" s="8">
        <v>1289</v>
      </c>
      <c r="C59" s="18">
        <f>9+71+44</f>
        <v>124</v>
      </c>
      <c r="D59" s="15">
        <f t="shared" si="1"/>
        <v>0.20294599018003273</v>
      </c>
      <c r="E59" s="18">
        <v>611</v>
      </c>
      <c r="F59" s="15">
        <f t="shared" si="2"/>
        <v>0.474010861132661</v>
      </c>
      <c r="G59" s="18">
        <v>22</v>
      </c>
    </row>
    <row r="60" spans="1:7" s="7" customFormat="1" ht="12.75">
      <c r="A60" s="7" t="s">
        <v>51</v>
      </c>
      <c r="B60" s="8">
        <v>39621</v>
      </c>
      <c r="C60" s="18">
        <f>120+308+444+9</f>
        <v>881</v>
      </c>
      <c r="D60" s="15">
        <f t="shared" si="1"/>
        <v>0.11748233097746366</v>
      </c>
      <c r="E60" s="18">
        <v>7499</v>
      </c>
      <c r="F60" s="15">
        <f t="shared" si="2"/>
        <v>0.1892683173064789</v>
      </c>
      <c r="G60" s="18">
        <v>150</v>
      </c>
    </row>
    <row r="61" spans="1:7" s="7" customFormat="1" ht="12.75">
      <c r="A61" s="7" t="s">
        <v>52</v>
      </c>
      <c r="B61" s="8">
        <v>2237</v>
      </c>
      <c r="C61" s="18">
        <f>33+21+14+3</f>
        <v>71</v>
      </c>
      <c r="D61" s="15">
        <f t="shared" si="1"/>
        <v>0.22468354430379747</v>
      </c>
      <c r="E61" s="18">
        <v>316</v>
      </c>
      <c r="F61" s="15">
        <f t="shared" si="2"/>
        <v>0.14126061689763075</v>
      </c>
      <c r="G61" s="18">
        <v>0</v>
      </c>
    </row>
    <row r="62" spans="1:7" s="7" customFormat="1" ht="12.75">
      <c r="A62" s="7" t="s">
        <v>53</v>
      </c>
      <c r="B62" s="8">
        <v>6645</v>
      </c>
      <c r="C62" s="18">
        <f>29+51+175</f>
        <v>255</v>
      </c>
      <c r="D62" s="15">
        <f t="shared" si="1"/>
        <v>0.11507220216606498</v>
      </c>
      <c r="E62" s="18">
        <v>2216</v>
      </c>
      <c r="F62" s="15">
        <f t="shared" si="2"/>
        <v>0.33348382242287433</v>
      </c>
      <c r="G62" s="18">
        <v>54</v>
      </c>
    </row>
    <row r="63" spans="1:7" s="7" customFormat="1" ht="12.75">
      <c r="A63" s="7" t="s">
        <v>54</v>
      </c>
      <c r="B63" s="8">
        <v>1659</v>
      </c>
      <c r="C63" s="18">
        <f>67+32+20</f>
        <v>119</v>
      </c>
      <c r="D63" s="15">
        <f t="shared" si="1"/>
        <v>0.15256410256410258</v>
      </c>
      <c r="E63" s="18">
        <v>780</v>
      </c>
      <c r="F63" s="15">
        <f t="shared" si="2"/>
        <v>0.4701627486437613</v>
      </c>
      <c r="G63" s="18">
        <v>2</v>
      </c>
    </row>
    <row r="64" spans="1:7" s="7" customFormat="1" ht="12.75">
      <c r="A64" s="7" t="s">
        <v>55</v>
      </c>
      <c r="B64" s="8">
        <v>18614</v>
      </c>
      <c r="C64" s="18">
        <f>54+44+627+5</f>
        <v>730</v>
      </c>
      <c r="D64" s="15">
        <f t="shared" si="1"/>
        <v>0.16606005459508644</v>
      </c>
      <c r="E64" s="18">
        <v>4396</v>
      </c>
      <c r="F64" s="15">
        <f t="shared" si="2"/>
        <v>0.23616632642097346</v>
      </c>
      <c r="G64" s="18">
        <v>62</v>
      </c>
    </row>
    <row r="65" spans="1:7" s="7" customFormat="1" ht="12.75">
      <c r="A65" s="7" t="s">
        <v>56</v>
      </c>
      <c r="B65" s="8">
        <v>8126</v>
      </c>
      <c r="C65" s="18">
        <f>45+70+85</f>
        <v>200</v>
      </c>
      <c r="D65" s="15">
        <f t="shared" si="1"/>
        <v>0.07476635514018691</v>
      </c>
      <c r="E65" s="18">
        <v>2675</v>
      </c>
      <c r="F65" s="15">
        <f t="shared" si="2"/>
        <v>0.32919025350726067</v>
      </c>
      <c r="G65" s="18">
        <v>49</v>
      </c>
    </row>
    <row r="66" spans="1:7" s="7" customFormat="1" ht="12.75">
      <c r="A66" s="7" t="s">
        <v>57</v>
      </c>
      <c r="B66" s="8">
        <v>7199</v>
      </c>
      <c r="C66" s="18">
        <f>60+150+442</f>
        <v>652</v>
      </c>
      <c r="D66" s="15">
        <f t="shared" si="1"/>
        <v>0.2468761832639152</v>
      </c>
      <c r="E66" s="18">
        <v>2641</v>
      </c>
      <c r="F66" s="15">
        <f t="shared" si="2"/>
        <v>0.36685650784831225</v>
      </c>
      <c r="G66" s="18">
        <v>93</v>
      </c>
    </row>
    <row r="67" spans="1:7" s="7" customFormat="1" ht="12.75">
      <c r="A67" s="7" t="s">
        <v>58</v>
      </c>
      <c r="B67" s="8">
        <v>16747</v>
      </c>
      <c r="C67" s="18">
        <f>130+103+344+21</f>
        <v>598</v>
      </c>
      <c r="D67" s="15">
        <f t="shared" si="1"/>
        <v>0.14890438247011953</v>
      </c>
      <c r="E67" s="18">
        <v>4016</v>
      </c>
      <c r="F67" s="15">
        <f t="shared" si="2"/>
        <v>0.23980414402579567</v>
      </c>
      <c r="G67" s="18">
        <v>67</v>
      </c>
    </row>
    <row r="68" spans="1:7" s="7" customFormat="1" ht="12.75">
      <c r="A68" s="7" t="s">
        <v>59</v>
      </c>
      <c r="B68" s="8">
        <v>2988</v>
      </c>
      <c r="C68" s="18">
        <f>18+4+50</f>
        <v>72</v>
      </c>
      <c r="D68" s="15">
        <f t="shared" si="1"/>
        <v>0.17061611374407584</v>
      </c>
      <c r="E68" s="18">
        <v>422</v>
      </c>
      <c r="F68" s="15">
        <f t="shared" si="2"/>
        <v>0.14123159303882196</v>
      </c>
      <c r="G68" s="18">
        <v>7</v>
      </c>
    </row>
    <row r="69" spans="1:7" s="7" customFormat="1" ht="12.75">
      <c r="A69" s="7" t="s">
        <v>60</v>
      </c>
      <c r="B69" s="8">
        <v>19383</v>
      </c>
      <c r="C69" s="18">
        <f>84+154+292+2</f>
        <v>532</v>
      </c>
      <c r="D69" s="15">
        <f t="shared" si="1"/>
        <v>0.14603348888278891</v>
      </c>
      <c r="E69" s="18">
        <v>3643</v>
      </c>
      <c r="F69" s="15">
        <f t="shared" si="2"/>
        <v>0.18794820203270907</v>
      </c>
      <c r="G69" s="18">
        <v>64</v>
      </c>
    </row>
    <row r="70" spans="1:7" s="7" customFormat="1" ht="12.75">
      <c r="A70" s="7" t="s">
        <v>61</v>
      </c>
      <c r="B70" s="8">
        <v>4161</v>
      </c>
      <c r="C70" s="18">
        <f>73+23+91+1</f>
        <v>188</v>
      </c>
      <c r="D70" s="15">
        <f t="shared" si="1"/>
        <v>0.13672727272727273</v>
      </c>
      <c r="E70" s="18">
        <v>1375</v>
      </c>
      <c r="F70" s="15">
        <f t="shared" si="2"/>
        <v>0.33044941119923094</v>
      </c>
      <c r="G70" s="18">
        <v>15</v>
      </c>
    </row>
    <row r="71" spans="1:7" s="7" customFormat="1" ht="12.75">
      <c r="A71" s="7" t="s">
        <v>62</v>
      </c>
      <c r="B71" s="8">
        <v>19776</v>
      </c>
      <c r="C71" s="18">
        <f>206+133+227+6</f>
        <v>572</v>
      </c>
      <c r="D71" s="15">
        <f t="shared" si="1"/>
        <v>0.09284207109235514</v>
      </c>
      <c r="E71" s="18">
        <v>6161</v>
      </c>
      <c r="F71" s="15">
        <f t="shared" si="2"/>
        <v>0.31153923948220064</v>
      </c>
      <c r="G71" s="18">
        <v>203</v>
      </c>
    </row>
    <row r="72" spans="1:7" s="7" customFormat="1" ht="12.75">
      <c r="A72" s="7" t="s">
        <v>63</v>
      </c>
      <c r="B72" s="8">
        <v>3807</v>
      </c>
      <c r="C72" s="18">
        <f>130+214+325+1</f>
        <v>670</v>
      </c>
      <c r="D72" s="15">
        <f t="shared" si="1"/>
        <v>0.35115303983228513</v>
      </c>
      <c r="E72" s="18">
        <f>664+1244</f>
        <v>1908</v>
      </c>
      <c r="F72" s="15">
        <f t="shared" si="2"/>
        <v>0.5011820330969267</v>
      </c>
      <c r="G72" s="18">
        <v>30</v>
      </c>
    </row>
    <row r="73" spans="1:7" s="7" customFormat="1" ht="12.75">
      <c r="A73" s="7" t="s">
        <v>64</v>
      </c>
      <c r="B73" s="8">
        <v>2198</v>
      </c>
      <c r="C73" s="18">
        <f>49+12+123+1</f>
        <v>185</v>
      </c>
      <c r="D73" s="15">
        <f t="shared" si="1"/>
        <v>0.20262869660460023</v>
      </c>
      <c r="E73" s="18">
        <v>913</v>
      </c>
      <c r="F73" s="15">
        <f t="shared" si="2"/>
        <v>0.4153776160145587</v>
      </c>
      <c r="G73" s="18">
        <v>25</v>
      </c>
    </row>
    <row r="74" spans="1:7" s="7" customFormat="1" ht="12.75">
      <c r="A74" s="7" t="s">
        <v>65</v>
      </c>
      <c r="B74" s="8">
        <v>7711</v>
      </c>
      <c r="C74" s="18">
        <f>38+53+58</f>
        <v>149</v>
      </c>
      <c r="D74" s="15">
        <f aca="true" t="shared" si="3" ref="D74:D119">C74/E74</f>
        <v>0.09502551020408163</v>
      </c>
      <c r="E74" s="18">
        <v>1568</v>
      </c>
      <c r="F74" s="15">
        <f t="shared" si="2"/>
        <v>0.20334586953702502</v>
      </c>
      <c r="G74" s="18">
        <v>20</v>
      </c>
    </row>
    <row r="75" spans="1:7" s="7" customFormat="1" ht="12.75">
      <c r="A75" s="7" t="s">
        <v>66</v>
      </c>
      <c r="B75" s="8">
        <v>11599</v>
      </c>
      <c r="C75" s="18">
        <f>60+99+63+1</f>
        <v>223</v>
      </c>
      <c r="D75" s="15">
        <f t="shared" si="3"/>
        <v>0.08333333333333333</v>
      </c>
      <c r="E75" s="18">
        <v>2676</v>
      </c>
      <c r="F75" s="15">
        <f t="shared" si="2"/>
        <v>0.23070954392620052</v>
      </c>
      <c r="G75" s="18">
        <v>55</v>
      </c>
    </row>
    <row r="76" spans="1:7" s="7" customFormat="1" ht="12.75">
      <c r="A76" s="7" t="s">
        <v>67</v>
      </c>
      <c r="B76" s="8">
        <v>2154</v>
      </c>
      <c r="C76" s="18">
        <f>23+16+13+2</f>
        <v>54</v>
      </c>
      <c r="D76" s="15">
        <f t="shared" si="3"/>
        <v>0.1836734693877551</v>
      </c>
      <c r="E76" s="18">
        <v>294</v>
      </c>
      <c r="F76" s="15">
        <f t="shared" si="2"/>
        <v>0.13649025069637882</v>
      </c>
      <c r="G76" s="18">
        <v>6</v>
      </c>
    </row>
    <row r="77" spans="1:7" s="7" customFormat="1" ht="12.75">
      <c r="A77" s="7" t="s">
        <v>68</v>
      </c>
      <c r="B77" s="8">
        <v>3691</v>
      </c>
      <c r="C77" s="18">
        <f>68+6+26</f>
        <v>100</v>
      </c>
      <c r="D77" s="15">
        <f t="shared" si="3"/>
        <v>0.10341261633919338</v>
      </c>
      <c r="E77" s="18">
        <f>114+853</f>
        <v>967</v>
      </c>
      <c r="F77" s="15">
        <f t="shared" si="2"/>
        <v>0.26198862096992687</v>
      </c>
      <c r="G77" s="18">
        <v>21</v>
      </c>
    </row>
    <row r="78" spans="1:7" s="7" customFormat="1" ht="12.75">
      <c r="A78" s="7" t="s">
        <v>69</v>
      </c>
      <c r="B78" s="8">
        <v>10316</v>
      </c>
      <c r="C78" s="18">
        <f>23+60+98</f>
        <v>181</v>
      </c>
      <c r="D78" s="15">
        <f t="shared" si="3"/>
        <v>0.06382228490832158</v>
      </c>
      <c r="E78" s="18">
        <v>2836</v>
      </c>
      <c r="F78" s="15">
        <f t="shared" si="2"/>
        <v>0.2749127568825126</v>
      </c>
      <c r="G78" s="18">
        <v>97</v>
      </c>
    </row>
    <row r="79" spans="1:7" s="7" customFormat="1" ht="12.75">
      <c r="A79" s="7" t="s">
        <v>70</v>
      </c>
      <c r="B79" s="8">
        <v>2854</v>
      </c>
      <c r="C79" s="18">
        <f>19+32+112</f>
        <v>163</v>
      </c>
      <c r="D79" s="15">
        <f t="shared" si="3"/>
        <v>0.1436123348017621</v>
      </c>
      <c r="E79" s="18">
        <v>1135</v>
      </c>
      <c r="F79" s="15">
        <f t="shared" si="2"/>
        <v>0.397687456201822</v>
      </c>
      <c r="G79" s="18">
        <v>22</v>
      </c>
    </row>
    <row r="80" spans="1:7" s="7" customFormat="1" ht="12.75">
      <c r="A80" s="7" t="s">
        <v>71</v>
      </c>
      <c r="B80" s="8">
        <v>4235</v>
      </c>
      <c r="C80" s="18">
        <f>23+37+76</f>
        <v>136</v>
      </c>
      <c r="D80" s="15">
        <f t="shared" si="3"/>
        <v>0.08267477203647416</v>
      </c>
      <c r="E80" s="18">
        <v>1645</v>
      </c>
      <c r="F80" s="15">
        <f t="shared" si="2"/>
        <v>0.3884297520661157</v>
      </c>
      <c r="G80" s="18">
        <v>32</v>
      </c>
    </row>
    <row r="81" spans="1:7" s="7" customFormat="1" ht="12.75">
      <c r="A81" s="7" t="s">
        <v>72</v>
      </c>
      <c r="B81" s="8">
        <v>3634</v>
      </c>
      <c r="C81" s="18">
        <f>46+13+200</f>
        <v>259</v>
      </c>
      <c r="D81" s="15">
        <f t="shared" si="3"/>
        <v>0.22005097706032287</v>
      </c>
      <c r="E81" s="18">
        <v>1177</v>
      </c>
      <c r="F81" s="15">
        <f t="shared" si="2"/>
        <v>0.3238855255916346</v>
      </c>
      <c r="G81" s="18">
        <v>23</v>
      </c>
    </row>
    <row r="82" spans="1:7" s="7" customFormat="1" ht="12.75">
      <c r="A82" s="7" t="s">
        <v>73</v>
      </c>
      <c r="B82" s="8">
        <v>3920</v>
      </c>
      <c r="C82" s="18">
        <f>10+45+56</f>
        <v>111</v>
      </c>
      <c r="D82" s="15">
        <f t="shared" si="3"/>
        <v>0.09024390243902439</v>
      </c>
      <c r="E82" s="18">
        <v>1230</v>
      </c>
      <c r="F82" s="15">
        <f t="shared" si="2"/>
        <v>0.3137755102040816</v>
      </c>
      <c r="G82" s="18">
        <v>27</v>
      </c>
    </row>
    <row r="83" spans="1:7" s="7" customFormat="1" ht="12.75">
      <c r="A83" s="7" t="s">
        <v>74</v>
      </c>
      <c r="B83" s="8">
        <v>13769</v>
      </c>
      <c r="C83" s="18">
        <f>61+170+74+6</f>
        <v>311</v>
      </c>
      <c r="D83" s="15">
        <f t="shared" si="3"/>
        <v>0.08284496537027171</v>
      </c>
      <c r="E83" s="18">
        <v>3754</v>
      </c>
      <c r="F83" s="15">
        <f t="shared" si="2"/>
        <v>0.2726414409180042</v>
      </c>
      <c r="G83" s="18">
        <v>34</v>
      </c>
    </row>
    <row r="84" spans="1:7" s="7" customFormat="1" ht="12.75">
      <c r="A84" s="7" t="s">
        <v>75</v>
      </c>
      <c r="B84" s="8">
        <v>6067</v>
      </c>
      <c r="C84" s="18">
        <f>26+38+93+3</f>
        <v>160</v>
      </c>
      <c r="D84" s="15">
        <f t="shared" si="3"/>
        <v>0.1127554615926709</v>
      </c>
      <c r="E84" s="18">
        <v>1419</v>
      </c>
      <c r="F84" s="15">
        <f t="shared" si="2"/>
        <v>0.23388824789846713</v>
      </c>
      <c r="G84" s="18">
        <v>17</v>
      </c>
    </row>
    <row r="85" spans="1:7" s="7" customFormat="1" ht="12.75">
      <c r="A85" s="7" t="s">
        <v>76</v>
      </c>
      <c r="B85" s="8">
        <v>2001</v>
      </c>
      <c r="C85" s="18">
        <f>49+62+209+4</f>
        <v>324</v>
      </c>
      <c r="D85" s="15">
        <f t="shared" si="3"/>
        <v>0.26843413421706713</v>
      </c>
      <c r="E85" s="18">
        <f>341+866</f>
        <v>1207</v>
      </c>
      <c r="F85" s="15">
        <f t="shared" si="2"/>
        <v>0.6031984007996002</v>
      </c>
      <c r="G85" s="18">
        <v>18</v>
      </c>
    </row>
    <row r="86" spans="1:7" s="7" customFormat="1" ht="12.75">
      <c r="A86" s="7" t="s">
        <v>77</v>
      </c>
      <c r="B86" s="8">
        <v>38620</v>
      </c>
      <c r="C86" s="18">
        <f>299+90+638+31</f>
        <v>1058</v>
      </c>
      <c r="D86" s="15">
        <f t="shared" si="3"/>
        <v>0.18682677026311142</v>
      </c>
      <c r="E86" s="18">
        <v>5663</v>
      </c>
      <c r="F86" s="15">
        <f t="shared" si="2"/>
        <v>0.14663386846193682</v>
      </c>
      <c r="G86" s="18">
        <v>70</v>
      </c>
    </row>
    <row r="87" spans="1:7" s="7" customFormat="1" ht="12.75">
      <c r="A87" s="7" t="s">
        <v>78</v>
      </c>
      <c r="B87" s="8">
        <v>3590</v>
      </c>
      <c r="C87" s="18">
        <f>53+95+81</f>
        <v>229</v>
      </c>
      <c r="D87" s="15">
        <f t="shared" si="3"/>
        <v>0.14623243933588762</v>
      </c>
      <c r="E87" s="18">
        <v>1566</v>
      </c>
      <c r="F87" s="15">
        <f t="shared" si="2"/>
        <v>0.4362116991643454</v>
      </c>
      <c r="G87" s="18">
        <v>19</v>
      </c>
    </row>
    <row r="88" spans="1:7" s="7" customFormat="1" ht="12.75">
      <c r="A88" s="7" t="s">
        <v>79</v>
      </c>
      <c r="B88" s="8">
        <v>5550</v>
      </c>
      <c r="C88" s="18">
        <f>44+18+128</f>
        <v>190</v>
      </c>
      <c r="D88" s="15">
        <f t="shared" si="3"/>
        <v>0.16407599309153714</v>
      </c>
      <c r="E88" s="18">
        <v>1158</v>
      </c>
      <c r="F88" s="15">
        <f t="shared" si="2"/>
        <v>0.20864864864864865</v>
      </c>
      <c r="G88" s="18">
        <v>22</v>
      </c>
    </row>
    <row r="89" spans="1:7" s="7" customFormat="1" ht="12.75">
      <c r="A89" s="7" t="s">
        <v>80</v>
      </c>
      <c r="B89" s="8">
        <v>27434</v>
      </c>
      <c r="C89" s="18">
        <f>153+246+828+36</f>
        <v>1263</v>
      </c>
      <c r="D89" s="15">
        <f t="shared" si="3"/>
        <v>0.23696060037523453</v>
      </c>
      <c r="E89" s="18">
        <v>5330</v>
      </c>
      <c r="F89" s="15">
        <f t="shared" si="2"/>
        <v>0.19428446453306117</v>
      </c>
      <c r="G89" s="18">
        <v>106</v>
      </c>
    </row>
    <row r="90" spans="1:7" s="7" customFormat="1" ht="12.75">
      <c r="A90" s="7" t="s">
        <v>81</v>
      </c>
      <c r="B90" s="8">
        <v>3732</v>
      </c>
      <c r="C90" s="18">
        <f>40+29+77</f>
        <v>146</v>
      </c>
      <c r="D90" s="15">
        <f t="shared" si="3"/>
        <v>0.08929663608562691</v>
      </c>
      <c r="E90" s="18">
        <v>1635</v>
      </c>
      <c r="F90" s="15">
        <f t="shared" si="2"/>
        <v>0.43810289389067525</v>
      </c>
      <c r="G90" s="18">
        <v>27</v>
      </c>
    </row>
    <row r="91" spans="1:7" s="7" customFormat="1" ht="12.75">
      <c r="A91" s="7" t="s">
        <v>82</v>
      </c>
      <c r="B91" s="8">
        <v>2465</v>
      </c>
      <c r="C91" s="18">
        <f>0+59+101</f>
        <v>160</v>
      </c>
      <c r="D91" s="15">
        <f t="shared" si="3"/>
        <v>0.1671891327063741</v>
      </c>
      <c r="E91" s="18">
        <v>957</v>
      </c>
      <c r="F91" s="15">
        <f t="shared" si="2"/>
        <v>0.38823529411764707</v>
      </c>
      <c r="G91" s="18">
        <v>13</v>
      </c>
    </row>
    <row r="92" spans="1:7" s="7" customFormat="1" ht="12.75">
      <c r="A92" s="7" t="s">
        <v>83</v>
      </c>
      <c r="B92" s="8">
        <v>4128</v>
      </c>
      <c r="C92" s="18">
        <f>89+21+101</f>
        <v>211</v>
      </c>
      <c r="D92" s="15">
        <f t="shared" si="3"/>
        <v>0.121894858463316</v>
      </c>
      <c r="E92" s="18">
        <v>1731</v>
      </c>
      <c r="F92" s="15">
        <f t="shared" si="2"/>
        <v>0.41933139534883723</v>
      </c>
      <c r="G92" s="18">
        <v>31</v>
      </c>
    </row>
    <row r="93" spans="1:7" s="7" customFormat="1" ht="12.75">
      <c r="A93" s="7" t="s">
        <v>84</v>
      </c>
      <c r="B93" s="8">
        <v>35363</v>
      </c>
      <c r="C93" s="18">
        <f>164+103+601+8</f>
        <v>876</v>
      </c>
      <c r="D93" s="15">
        <f t="shared" si="3"/>
        <v>0.13382218148487626</v>
      </c>
      <c r="E93" s="18">
        <v>6546</v>
      </c>
      <c r="F93" s="15">
        <f t="shared" si="2"/>
        <v>0.18510872946299806</v>
      </c>
      <c r="G93" s="18">
        <v>107</v>
      </c>
    </row>
    <row r="94" spans="1:7" s="7" customFormat="1" ht="12.75">
      <c r="A94" s="7" t="s">
        <v>85</v>
      </c>
      <c r="B94" s="8">
        <v>3146</v>
      </c>
      <c r="C94" s="18">
        <f>76+25+60</f>
        <v>161</v>
      </c>
      <c r="D94" s="15">
        <f t="shared" si="3"/>
        <v>0.13349917081260365</v>
      </c>
      <c r="E94" s="18">
        <v>1206</v>
      </c>
      <c r="F94" s="15">
        <f t="shared" si="2"/>
        <v>0.38334392879847423</v>
      </c>
      <c r="G94" s="18">
        <v>28</v>
      </c>
    </row>
    <row r="95" spans="1:7" s="7" customFormat="1" ht="12.75">
      <c r="A95" s="7" t="s">
        <v>86</v>
      </c>
      <c r="B95" s="8">
        <v>241030</v>
      </c>
      <c r="C95" s="18">
        <f>3794+4002+3238+57</f>
        <v>11091</v>
      </c>
      <c r="D95" s="15">
        <f t="shared" si="3"/>
        <v>0.3010259472369992</v>
      </c>
      <c r="E95" s="18">
        <v>36844</v>
      </c>
      <c r="F95" s="15">
        <f t="shared" si="2"/>
        <v>0.15286063975438743</v>
      </c>
      <c r="G95" s="18">
        <v>549</v>
      </c>
    </row>
    <row r="96" spans="1:7" s="7" customFormat="1" ht="12.75">
      <c r="A96" s="7" t="s">
        <v>87</v>
      </c>
      <c r="B96" s="8">
        <v>7554</v>
      </c>
      <c r="C96" s="18">
        <f>79+101+426+2</f>
        <v>608</v>
      </c>
      <c r="D96" s="15">
        <f t="shared" si="3"/>
        <v>0.3394751535455053</v>
      </c>
      <c r="E96" s="18">
        <v>1791</v>
      </c>
      <c r="F96" s="15">
        <f t="shared" si="2"/>
        <v>0.23709293089753772</v>
      </c>
      <c r="G96" s="18">
        <v>71</v>
      </c>
    </row>
    <row r="97" spans="1:7" s="7" customFormat="1" ht="12.75">
      <c r="A97" s="7" t="s">
        <v>88</v>
      </c>
      <c r="B97" s="8">
        <v>103355</v>
      </c>
      <c r="C97" s="18">
        <f>1193+2273+1688+49</f>
        <v>5203</v>
      </c>
      <c r="D97" s="15">
        <f t="shared" si="3"/>
        <v>0.16058146353507607</v>
      </c>
      <c r="E97" s="18">
        <v>32401</v>
      </c>
      <c r="F97" s="15">
        <f t="shared" si="2"/>
        <v>0.31349233225291473</v>
      </c>
      <c r="G97" s="18">
        <v>484</v>
      </c>
    </row>
    <row r="98" spans="1:7" s="10" customFormat="1" ht="12.75">
      <c r="A98" s="10" t="s">
        <v>89</v>
      </c>
      <c r="B98" s="11">
        <v>1686</v>
      </c>
      <c r="C98" s="20">
        <f>20+26+33+1</f>
        <v>80</v>
      </c>
      <c r="D98" s="15">
        <f t="shared" si="3"/>
        <v>0.2597402597402597</v>
      </c>
      <c r="E98" s="20">
        <v>308</v>
      </c>
      <c r="F98" s="15">
        <f t="shared" si="2"/>
        <v>0.1826809015421115</v>
      </c>
      <c r="G98" s="20">
        <v>4</v>
      </c>
    </row>
    <row r="99" spans="1:7" s="7" customFormat="1" ht="12.75">
      <c r="A99" s="7" t="s">
        <v>90</v>
      </c>
      <c r="B99" s="8">
        <v>3577</v>
      </c>
      <c r="C99" s="18">
        <f>45+31+193+2</f>
        <v>271</v>
      </c>
      <c r="D99" s="15">
        <f t="shared" si="3"/>
        <v>0.17958913187541417</v>
      </c>
      <c r="E99" s="18">
        <v>1509</v>
      </c>
      <c r="F99" s="15">
        <f t="shared" si="2"/>
        <v>0.42186189544310876</v>
      </c>
      <c r="G99" s="18">
        <v>17</v>
      </c>
    </row>
    <row r="100" spans="1:7" s="7" customFormat="1" ht="12.75">
      <c r="A100" s="7" t="s">
        <v>91</v>
      </c>
      <c r="B100" s="8">
        <v>3351</v>
      </c>
      <c r="C100" s="18">
        <f>24+10+44+1</f>
        <v>79</v>
      </c>
      <c r="D100" s="15">
        <f t="shared" si="3"/>
        <v>0.10807113543091655</v>
      </c>
      <c r="E100" s="18">
        <v>731</v>
      </c>
      <c r="F100" s="15">
        <f t="shared" si="2"/>
        <v>0.21814383766039988</v>
      </c>
      <c r="G100" s="18">
        <v>4</v>
      </c>
    </row>
    <row r="101" spans="1:7" s="7" customFormat="1" ht="12.75">
      <c r="A101" s="7" t="s">
        <v>92</v>
      </c>
      <c r="B101" s="8">
        <v>2974</v>
      </c>
      <c r="C101" s="18">
        <f>36+52+132</f>
        <v>220</v>
      </c>
      <c r="D101" s="15">
        <f t="shared" si="3"/>
        <v>0.16755521706016754</v>
      </c>
      <c r="E101" s="18">
        <v>1313</v>
      </c>
      <c r="F101" s="15">
        <f t="shared" si="2"/>
        <v>0.441492938802959</v>
      </c>
      <c r="G101" s="18">
        <v>38</v>
      </c>
    </row>
    <row r="102" spans="1:7" s="7" customFormat="1" ht="12.75">
      <c r="A102" s="7" t="s">
        <v>93</v>
      </c>
      <c r="B102" s="8">
        <v>1145</v>
      </c>
      <c r="C102" s="18">
        <f>14+18+33</f>
        <v>65</v>
      </c>
      <c r="D102" s="15">
        <f t="shared" si="3"/>
        <v>0.13829787234042554</v>
      </c>
      <c r="E102" s="18">
        <v>470</v>
      </c>
      <c r="F102" s="15">
        <f t="shared" si="2"/>
        <v>0.4104803493449782</v>
      </c>
      <c r="G102" s="18">
        <v>12</v>
      </c>
    </row>
    <row r="103" spans="1:7" s="7" customFormat="1" ht="12.75">
      <c r="A103" s="7" t="s">
        <v>94</v>
      </c>
      <c r="B103" s="8">
        <v>2804</v>
      </c>
      <c r="C103" s="18">
        <f>2+94+114</f>
        <v>210</v>
      </c>
      <c r="D103" s="15">
        <f t="shared" si="3"/>
        <v>0.14685314685314685</v>
      </c>
      <c r="E103" s="18">
        <v>1430</v>
      </c>
      <c r="F103" s="15">
        <f t="shared" si="2"/>
        <v>0.5099857346647646</v>
      </c>
      <c r="G103" s="18">
        <v>39</v>
      </c>
    </row>
    <row r="104" spans="1:7" s="7" customFormat="1" ht="12.75">
      <c r="A104" s="7" t="s">
        <v>95</v>
      </c>
      <c r="B104" s="8">
        <v>16255</v>
      </c>
      <c r="C104" s="18">
        <f>20+119+42</f>
        <v>181</v>
      </c>
      <c r="D104" s="15">
        <f t="shared" si="3"/>
        <v>0.09476439790575916</v>
      </c>
      <c r="E104" s="18">
        <v>1910</v>
      </c>
      <c r="F104" s="15">
        <f t="shared" si="2"/>
        <v>0.11750230698246693</v>
      </c>
      <c r="G104" s="18">
        <v>25</v>
      </c>
    </row>
    <row r="105" spans="1:7" s="7" customFormat="1" ht="12.75">
      <c r="A105" s="14"/>
      <c r="B105" s="9"/>
      <c r="C105" s="18"/>
      <c r="D105" s="9"/>
      <c r="E105" s="18"/>
      <c r="F105" s="9"/>
      <c r="G105" s="18"/>
    </row>
    <row r="106" spans="1:7" s="7" customFormat="1" ht="12.75">
      <c r="A106" s="12" t="s">
        <v>109</v>
      </c>
      <c r="B106" s="13" t="s">
        <v>113</v>
      </c>
      <c r="C106" s="19" t="s">
        <v>106</v>
      </c>
      <c r="D106" s="13" t="s">
        <v>115</v>
      </c>
      <c r="E106" s="19" t="s">
        <v>108</v>
      </c>
      <c r="F106" s="13" t="s">
        <v>115</v>
      </c>
      <c r="G106" s="19" t="s">
        <v>107</v>
      </c>
    </row>
    <row r="107" spans="2:7" s="12" customFormat="1" ht="12.75">
      <c r="B107" s="13" t="s">
        <v>114</v>
      </c>
      <c r="C107" s="19" t="s">
        <v>110</v>
      </c>
      <c r="D107" s="13" t="s">
        <v>110</v>
      </c>
      <c r="E107" s="19" t="s">
        <v>111</v>
      </c>
      <c r="F107" s="13" t="s">
        <v>113</v>
      </c>
      <c r="G107" s="19" t="s">
        <v>112</v>
      </c>
    </row>
    <row r="108" spans="1:7" s="7" customFormat="1" ht="12.75">
      <c r="A108" s="12"/>
      <c r="B108" s="13"/>
      <c r="C108" s="18"/>
      <c r="D108" s="9"/>
      <c r="E108" s="18"/>
      <c r="F108" s="9"/>
      <c r="G108" s="18"/>
    </row>
    <row r="109" spans="1:7" s="7" customFormat="1" ht="12.75">
      <c r="A109" s="7" t="s">
        <v>96</v>
      </c>
      <c r="B109" s="8">
        <v>5273</v>
      </c>
      <c r="C109" s="18">
        <f>64+54+365+2</f>
        <v>485</v>
      </c>
      <c r="D109" s="15">
        <f t="shared" si="3"/>
        <v>0.24606798579401318</v>
      </c>
      <c r="E109" s="18">
        <v>1971</v>
      </c>
      <c r="F109" s="15">
        <f aca="true" t="shared" si="4" ref="F109:F117">E109/B109</f>
        <v>0.3737910108097857</v>
      </c>
      <c r="G109" s="18">
        <v>72</v>
      </c>
    </row>
    <row r="110" spans="1:7" s="7" customFormat="1" ht="12.75">
      <c r="A110" s="7" t="s">
        <v>97</v>
      </c>
      <c r="B110" s="8">
        <v>2133</v>
      </c>
      <c r="C110" s="18">
        <f>24+39+95+1</f>
        <v>159</v>
      </c>
      <c r="D110" s="15">
        <f t="shared" si="3"/>
        <v>0.260655737704918</v>
      </c>
      <c r="E110" s="18">
        <v>610</v>
      </c>
      <c r="F110" s="15">
        <f t="shared" si="4"/>
        <v>0.28598218471636194</v>
      </c>
      <c r="G110" s="18">
        <v>7</v>
      </c>
    </row>
    <row r="111" spans="1:7" s="7" customFormat="1" ht="12.75">
      <c r="A111" s="7" t="s">
        <v>98</v>
      </c>
      <c r="B111" s="8">
        <v>4260</v>
      </c>
      <c r="C111" s="18">
        <f>21+132+48+7</f>
        <v>208</v>
      </c>
      <c r="D111" s="15">
        <f t="shared" si="3"/>
        <v>0.11510791366906475</v>
      </c>
      <c r="E111" s="18">
        <v>1807</v>
      </c>
      <c r="F111" s="15">
        <f t="shared" si="4"/>
        <v>0.42417840375586857</v>
      </c>
      <c r="G111" s="18">
        <v>24</v>
      </c>
    </row>
    <row r="112" spans="1:7" s="7" customFormat="1" ht="12.75">
      <c r="A112" s="7" t="s">
        <v>99</v>
      </c>
      <c r="B112" s="8">
        <v>1028</v>
      </c>
      <c r="C112" s="18">
        <f>11+15+65+2</f>
        <v>93</v>
      </c>
      <c r="D112" s="15">
        <f t="shared" si="3"/>
        <v>0.18093385214007782</v>
      </c>
      <c r="E112" s="18">
        <v>514</v>
      </c>
      <c r="F112" s="15">
        <f t="shared" si="4"/>
        <v>0.5</v>
      </c>
      <c r="G112" s="18">
        <v>3</v>
      </c>
    </row>
    <row r="113" spans="1:7" s="7" customFormat="1" ht="12.75">
      <c r="A113" s="7" t="s">
        <v>100</v>
      </c>
      <c r="B113" s="8">
        <v>3967</v>
      </c>
      <c r="C113" s="18">
        <f>26+117+125</f>
        <v>268</v>
      </c>
      <c r="D113" s="15">
        <f t="shared" si="3"/>
        <v>0.15227272727272728</v>
      </c>
      <c r="E113" s="18">
        <v>1760</v>
      </c>
      <c r="F113" s="15">
        <f t="shared" si="4"/>
        <v>0.4436601966221326</v>
      </c>
      <c r="G113" s="18">
        <v>39</v>
      </c>
    </row>
    <row r="114" spans="1:7" s="7" customFormat="1" ht="12.75">
      <c r="A114" s="7" t="s">
        <v>101</v>
      </c>
      <c r="B114" s="8">
        <v>1339</v>
      </c>
      <c r="C114" s="18">
        <f>6+4+16</f>
        <v>26</v>
      </c>
      <c r="D114" s="15">
        <f t="shared" si="3"/>
        <v>0.04498269896193772</v>
      </c>
      <c r="E114" s="18">
        <v>578</v>
      </c>
      <c r="F114" s="15">
        <f t="shared" si="4"/>
        <v>0.4316654219566841</v>
      </c>
      <c r="G114" s="18">
        <v>7</v>
      </c>
    </row>
    <row r="115" spans="1:7" s="7" customFormat="1" ht="12.75">
      <c r="A115" s="7" t="s">
        <v>102</v>
      </c>
      <c r="B115" s="8">
        <v>5424</v>
      </c>
      <c r="C115" s="18">
        <f>110+191+132+1</f>
        <v>434</v>
      </c>
      <c r="D115" s="15">
        <f t="shared" si="3"/>
        <v>0.3438985736925515</v>
      </c>
      <c r="E115" s="18">
        <f>325+937</f>
        <v>1262</v>
      </c>
      <c r="F115" s="15">
        <f t="shared" si="4"/>
        <v>0.23266961651917403</v>
      </c>
      <c r="G115" s="18">
        <v>15</v>
      </c>
    </row>
    <row r="116" spans="1:7" s="7" customFormat="1" ht="12.75">
      <c r="A116" s="7" t="s">
        <v>103</v>
      </c>
      <c r="B116" s="8">
        <v>2390</v>
      </c>
      <c r="C116" s="18">
        <f>24+75+108+3</f>
        <v>210</v>
      </c>
      <c r="D116" s="15">
        <f t="shared" si="3"/>
        <v>0.2567237163814181</v>
      </c>
      <c r="E116" s="18">
        <v>818</v>
      </c>
      <c r="F116" s="15">
        <f t="shared" si="4"/>
        <v>0.3422594142259414</v>
      </c>
      <c r="G116" s="18">
        <v>4</v>
      </c>
    </row>
    <row r="117" spans="1:7" s="7" customFormat="1" ht="12.75">
      <c r="A117" s="7" t="s">
        <v>104</v>
      </c>
      <c r="B117" s="8">
        <v>84837</v>
      </c>
      <c r="C117" s="18">
        <f>1379+2193+373+10</f>
        <v>3955</v>
      </c>
      <c r="D117" s="15">
        <f t="shared" si="3"/>
        <v>0.29429273011384777</v>
      </c>
      <c r="E117" s="18">
        <v>13439</v>
      </c>
      <c r="F117" s="15">
        <f t="shared" si="4"/>
        <v>0.15840965616417366</v>
      </c>
      <c r="G117" s="18">
        <v>326</v>
      </c>
    </row>
    <row r="118" spans="2:4" ht="15.75">
      <c r="B118" s="2"/>
      <c r="D118" s="15"/>
    </row>
    <row r="119" spans="1:7" s="4" customFormat="1" ht="15.75">
      <c r="A119" s="4" t="s">
        <v>105</v>
      </c>
      <c r="B119" s="16">
        <f>SUM(B5:B117)</f>
        <v>1652973</v>
      </c>
      <c r="C119" s="16">
        <f>SUM(C5:C117)</f>
        <v>75384</v>
      </c>
      <c r="D119" s="17">
        <f t="shared" si="3"/>
        <v>0.20312512630651458</v>
      </c>
      <c r="E119" s="16">
        <f>SUM(E5:E117)</f>
        <v>371121</v>
      </c>
      <c r="F119" s="17">
        <f>E119/B119</f>
        <v>0.22451727886662395</v>
      </c>
      <c r="G119" s="16">
        <f>SUM(G5:G117)</f>
        <v>6802</v>
      </c>
    </row>
    <row r="121" ht="15.75">
      <c r="B121" s="5"/>
    </row>
    <row r="122" ht="15.75">
      <c r="B122" s="5"/>
    </row>
    <row r="123" ht="15.75">
      <c r="B123" s="5"/>
    </row>
    <row r="124" ht="15.75">
      <c r="B124" s="5"/>
    </row>
    <row r="125" ht="15.75">
      <c r="B125" s="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&amp;"Times New Roman,Bold"2008 PRIMARY ELECTION OFFICIAL TURNOUT NUMBERS&amp;"Times New Roman,Regular"
&amp;R&amp;"Times New Roman,Italic"&amp;8REV. 08.29.2008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cp:lastPrinted>2008-08-29T13:25:26Z</cp:lastPrinted>
  <dcterms:created xsi:type="dcterms:W3CDTF">2008-07-31T14:30:38Z</dcterms:created>
  <dcterms:modified xsi:type="dcterms:W3CDTF">2008-08-29T13:30:19Z</dcterms:modified>
  <cp:category/>
  <cp:version/>
  <cp:contentType/>
  <cp:contentStatus/>
</cp:coreProperties>
</file>